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6605" windowHeight="9435"/>
  </bookViews>
  <sheets>
    <sheet name="Форма" sheetId="3" r:id="rId1"/>
    <sheet name="Лист 1 (2)" sheetId="2" r:id="rId2"/>
    <sheet name="Лист 1" sheetId="1" r:id="rId3"/>
  </sheets>
  <definedNames>
    <definedName name="_xlnm._FilterDatabase" localSheetId="2" hidden="1">'Лист 1'!$A$14:$AA$14</definedName>
    <definedName name="_xlnm._FilterDatabase" localSheetId="1" hidden="1">'Лист 1 (2)'!$A$13:$V$13</definedName>
    <definedName name="_xlnm._FilterDatabase" localSheetId="0" hidden="1">Форма!$A$13:$W$13</definedName>
    <definedName name="_xlnm.Print_Titles" localSheetId="2">'Лист 1'!$10:$11</definedName>
    <definedName name="_xlnm.Print_Titles" localSheetId="1">'Лист 1 (2)'!$10:$11</definedName>
    <definedName name="_xlnm.Print_Titles" localSheetId="0">Форма!$10:$11</definedName>
    <definedName name="_xlnm.Print_Area" localSheetId="2">'Лист 1'!$A:$AA</definedName>
    <definedName name="_xlnm.Print_Area" localSheetId="1">'Лист 1 (2)'!$A$6:$O$27</definedName>
    <definedName name="_xlnm.Print_Area" localSheetId="0">Форма!$A$6:$W$34</definedName>
  </definedNames>
  <calcPr calcId="145621" fullPrecision="0"/>
</workbook>
</file>

<file path=xl/calcChain.xml><?xml version="1.0" encoding="utf-8"?>
<calcChain xmlns="http://schemas.openxmlformats.org/spreadsheetml/2006/main">
  <c r="K15" i="3" l="1"/>
  <c r="K14" i="3"/>
  <c r="K13" i="3"/>
  <c r="K19" i="3"/>
  <c r="I19" i="3"/>
  <c r="V19" i="3" l="1"/>
  <c r="U19" i="3"/>
  <c r="T19" i="3"/>
  <c r="S19" i="3"/>
  <c r="R19" i="3"/>
  <c r="Q19" i="3"/>
  <c r="P19" i="3"/>
  <c r="O19" i="3"/>
  <c r="I25" i="2"/>
  <c r="I24" i="2"/>
  <c r="W15" i="3"/>
  <c r="W13" i="3"/>
  <c r="W14" i="3"/>
  <c r="F15" i="3"/>
  <c r="F14" i="3"/>
  <c r="F13" i="3"/>
  <c r="X17" i="3"/>
  <c r="I13" i="3" l="1"/>
  <c r="M13" i="3"/>
  <c r="N13" i="3"/>
  <c r="M14" i="3"/>
  <c r="J14" i="3"/>
  <c r="J19" i="3" s="1"/>
  <c r="M15" i="3"/>
  <c r="N15" i="3" s="1"/>
  <c r="W19" i="3"/>
  <c r="F19" i="3"/>
  <c r="N14" i="3" l="1"/>
  <c r="N19" i="3" s="1"/>
  <c r="M19" i="3"/>
  <c r="Q26" i="2"/>
  <c r="Q27" i="2" s="1"/>
  <c r="AA6" i="2" l="1"/>
  <c r="K16" i="1"/>
  <c r="G26" i="2" l="1"/>
  <c r="Y18" i="2"/>
  <c r="W18" i="2" l="1"/>
  <c r="G27" i="2" l="1"/>
  <c r="W16" i="2" l="1"/>
  <c r="Z16" i="2"/>
  <c r="AA16" i="2" l="1"/>
  <c r="Y16" i="2"/>
  <c r="W17" i="2"/>
  <c r="W19" i="2" s="1"/>
  <c r="Y17" i="2"/>
  <c r="AB17" i="2"/>
  <c r="Z17" i="2" l="1"/>
  <c r="AA17" i="2"/>
  <c r="L213" i="1"/>
  <c r="K18" i="1"/>
  <c r="W210" i="1"/>
  <c r="X210" i="1"/>
  <c r="Y210" i="1"/>
  <c r="Z210" i="1"/>
  <c r="AD17" i="1"/>
  <c r="AD18" i="1"/>
  <c r="J213" i="1"/>
  <c r="J198" i="1" l="1"/>
  <c r="J186" i="1"/>
  <c r="J174" i="1"/>
  <c r="J162" i="1"/>
  <c r="J150" i="1"/>
  <c r="J138" i="1"/>
  <c r="J126" i="1"/>
  <c r="J114" i="1"/>
  <c r="J102" i="1"/>
  <c r="J90" i="1"/>
  <c r="J78" i="1"/>
  <c r="J66" i="1"/>
  <c r="J54" i="1"/>
  <c r="J53" i="1"/>
  <c r="J50" i="1"/>
  <c r="J47" i="1"/>
  <c r="J45" i="1"/>
  <c r="AD45" i="1" s="1"/>
  <c r="J44" i="1"/>
  <c r="AD44" i="1" s="1"/>
  <c r="J40" i="1"/>
  <c r="J38" i="1"/>
  <c r="J32" i="1"/>
  <c r="J28" i="1"/>
  <c r="J26" i="1"/>
  <c r="J21" i="1"/>
  <c r="O214" i="1"/>
  <c r="O215" i="1" s="1"/>
  <c r="P214" i="1"/>
  <c r="P215" i="1" s="1"/>
  <c r="W214" i="1"/>
  <c r="W215" i="1" s="1"/>
  <c r="X214" i="1"/>
  <c r="X215" i="1" s="1"/>
  <c r="Y214" i="1"/>
  <c r="Y215" i="1" s="1"/>
  <c r="Z214" i="1"/>
  <c r="Z215" i="1" s="1"/>
  <c r="K28" i="1" l="1"/>
  <c r="R28" i="1" s="1"/>
  <c r="K54" i="1"/>
  <c r="K38" i="1"/>
  <c r="K47" i="1"/>
  <c r="AD47" i="1"/>
  <c r="K32" i="1"/>
  <c r="AD32" i="1"/>
  <c r="K40" i="1"/>
  <c r="AD40" i="1"/>
  <c r="AD21" i="1"/>
  <c r="K21" i="1"/>
  <c r="R21" i="1" s="1"/>
  <c r="AD53" i="1"/>
  <c r="K53" i="1"/>
  <c r="AD26" i="1"/>
  <c r="K26" i="1"/>
  <c r="R26" i="1" s="1"/>
  <c r="K50" i="1"/>
  <c r="AD50" i="1"/>
  <c r="AD66" i="1"/>
  <c r="K66" i="1"/>
  <c r="K78" i="1"/>
  <c r="AD78" i="1"/>
  <c r="K90" i="1"/>
  <c r="AD90" i="1"/>
  <c r="AD102" i="1"/>
  <c r="K102" i="1"/>
  <c r="K114" i="1"/>
  <c r="AD114" i="1"/>
  <c r="K126" i="1"/>
  <c r="AD126" i="1"/>
  <c r="K138" i="1"/>
  <c r="AD138" i="1"/>
  <c r="AD150" i="1"/>
  <c r="K150" i="1"/>
  <c r="K162" i="1"/>
  <c r="AD162" i="1"/>
  <c r="K174" i="1"/>
  <c r="AB174" i="1" s="1"/>
  <c r="AD174" i="1"/>
  <c r="K186" i="1"/>
  <c r="AD186" i="1"/>
  <c r="AD198" i="1"/>
  <c r="K198" i="1"/>
  <c r="AB17" i="1"/>
  <c r="AB38" i="1"/>
  <c r="AF6" i="1"/>
  <c r="H214" i="1"/>
  <c r="H215" i="1" s="1"/>
  <c r="G213" i="1"/>
  <c r="I213" i="1" s="1"/>
  <c r="G198" i="1"/>
  <c r="G186" i="1"/>
  <c r="G174" i="1"/>
  <c r="G162" i="1"/>
  <c r="G150" i="1"/>
  <c r="G138" i="1"/>
  <c r="G126" i="1"/>
  <c r="G114" i="1"/>
  <c r="G102" i="1"/>
  <c r="G90" i="1"/>
  <c r="G78" i="1"/>
  <c r="G66" i="1"/>
  <c r="G54" i="1"/>
  <c r="G53" i="1"/>
  <c r="G50" i="1"/>
  <c r="G47" i="1"/>
  <c r="G45" i="1"/>
  <c r="G44" i="1"/>
  <c r="G40" i="1"/>
  <c r="G38" i="1"/>
  <c r="G32" i="1"/>
  <c r="G28" i="1"/>
  <c r="G26" i="1"/>
  <c r="G21" i="1"/>
  <c r="AC17" i="1"/>
  <c r="AC18" i="1"/>
  <c r="AC21" i="1"/>
  <c r="AC26" i="1"/>
  <c r="AC32" i="1"/>
  <c r="AC40" i="1"/>
  <c r="AC47" i="1"/>
  <c r="AC50" i="1"/>
  <c r="AC53" i="1"/>
  <c r="AC66" i="1"/>
  <c r="AC78" i="1"/>
  <c r="AC90" i="1"/>
  <c r="AC102" i="1"/>
  <c r="AC114" i="1"/>
  <c r="AC126" i="1"/>
  <c r="AC138" i="1"/>
  <c r="AC150" i="1"/>
  <c r="AC162" i="1"/>
  <c r="AC174" i="1"/>
  <c r="AC186" i="1"/>
  <c r="AC198" i="1"/>
  <c r="AB198" i="1" l="1"/>
  <c r="K213" i="1"/>
  <c r="Q213" i="1" s="1"/>
  <c r="AB78" i="1"/>
  <c r="AB18" i="1"/>
  <c r="AB126" i="1"/>
  <c r="AB54" i="1"/>
  <c r="AB47" i="1"/>
  <c r="AB21" i="1"/>
  <c r="AB26" i="1"/>
  <c r="AB50" i="1"/>
  <c r="AB66" i="1"/>
  <c r="AB102" i="1"/>
  <c r="AB150" i="1"/>
  <c r="AB28" i="1"/>
  <c r="AB32" i="1"/>
  <c r="AB40" i="1"/>
  <c r="AB90" i="1"/>
  <c r="AB114" i="1"/>
  <c r="AB138" i="1"/>
  <c r="AB162" i="1"/>
  <c r="AB186" i="1"/>
  <c r="AB53" i="1"/>
  <c r="U213" i="1"/>
  <c r="AA213" i="1" s="1"/>
  <c r="AD213" i="1" s="1"/>
  <c r="F144" i="1"/>
  <c r="F108" i="1"/>
  <c r="F34" i="1"/>
  <c r="AB213" i="1" l="1"/>
  <c r="J34" i="1"/>
  <c r="J144" i="1"/>
  <c r="J108" i="1"/>
  <c r="N34" i="1"/>
  <c r="G34" i="1"/>
  <c r="N144" i="1"/>
  <c r="G144" i="1"/>
  <c r="N108" i="1"/>
  <c r="G108" i="1"/>
  <c r="AC44" i="1"/>
  <c r="AC45" i="1"/>
  <c r="I44" i="1"/>
  <c r="I45" i="1"/>
  <c r="K44" i="1" l="1"/>
  <c r="AB44" i="1" s="1"/>
  <c r="K45" i="1"/>
  <c r="AB45" i="1" s="1"/>
  <c r="U54" i="1"/>
  <c r="AA54" i="1" s="1"/>
  <c r="U38" i="1"/>
  <c r="AA38" i="1" s="1"/>
  <c r="U28" i="1"/>
  <c r="AA28" i="1" s="1"/>
  <c r="F209" i="1"/>
  <c r="F208" i="1"/>
  <c r="F207" i="1"/>
  <c r="F206" i="1"/>
  <c r="F205" i="1"/>
  <c r="F204" i="1"/>
  <c r="F203" i="1"/>
  <c r="F202" i="1"/>
  <c r="F201" i="1"/>
  <c r="F200" i="1"/>
  <c r="F199" i="1"/>
  <c r="F197" i="1"/>
  <c r="F196" i="1"/>
  <c r="F195" i="1"/>
  <c r="F194" i="1"/>
  <c r="F193" i="1"/>
  <c r="F192" i="1"/>
  <c r="F191" i="1"/>
  <c r="F190" i="1"/>
  <c r="F189" i="1"/>
  <c r="F188" i="1"/>
  <c r="F187" i="1"/>
  <c r="F185" i="1"/>
  <c r="F184" i="1"/>
  <c r="F183" i="1"/>
  <c r="F182" i="1"/>
  <c r="F181" i="1"/>
  <c r="F180" i="1"/>
  <c r="F179" i="1"/>
  <c r="F178" i="1"/>
  <c r="F177" i="1"/>
  <c r="F176" i="1"/>
  <c r="F175" i="1"/>
  <c r="F173" i="1"/>
  <c r="F172" i="1"/>
  <c r="F171" i="1"/>
  <c r="F170" i="1"/>
  <c r="F169" i="1"/>
  <c r="F168" i="1"/>
  <c r="F167" i="1"/>
  <c r="F166" i="1"/>
  <c r="F165" i="1"/>
  <c r="F164" i="1"/>
  <c r="F163" i="1"/>
  <c r="F161" i="1"/>
  <c r="F160" i="1"/>
  <c r="F159" i="1"/>
  <c r="F158" i="1"/>
  <c r="F157" i="1"/>
  <c r="F156" i="1"/>
  <c r="F155" i="1"/>
  <c r="F154" i="1"/>
  <c r="F153" i="1"/>
  <c r="F152" i="1"/>
  <c r="F151" i="1"/>
  <c r="F149" i="1"/>
  <c r="F148" i="1"/>
  <c r="F147" i="1"/>
  <c r="F146" i="1"/>
  <c r="F145" i="1"/>
  <c r="F143" i="1"/>
  <c r="F142" i="1"/>
  <c r="F141" i="1"/>
  <c r="F140" i="1"/>
  <c r="F139" i="1"/>
  <c r="F137" i="1"/>
  <c r="F136" i="1"/>
  <c r="F135" i="1"/>
  <c r="F134" i="1"/>
  <c r="F133" i="1"/>
  <c r="F132" i="1"/>
  <c r="F131" i="1"/>
  <c r="F130" i="1"/>
  <c r="F129" i="1"/>
  <c r="F128" i="1"/>
  <c r="F127" i="1"/>
  <c r="F125" i="1"/>
  <c r="F124" i="1"/>
  <c r="F123" i="1"/>
  <c r="F122" i="1"/>
  <c r="F121" i="1"/>
  <c r="F120" i="1"/>
  <c r="F119" i="1"/>
  <c r="F118" i="1"/>
  <c r="F117" i="1"/>
  <c r="F116" i="1"/>
  <c r="F115" i="1"/>
  <c r="F113" i="1"/>
  <c r="F112" i="1"/>
  <c r="F111" i="1"/>
  <c r="F110" i="1"/>
  <c r="F109" i="1"/>
  <c r="F107" i="1"/>
  <c r="F106" i="1"/>
  <c r="F105" i="1"/>
  <c r="F104" i="1"/>
  <c r="F103" i="1"/>
  <c r="F101" i="1"/>
  <c r="F100" i="1"/>
  <c r="F99" i="1"/>
  <c r="F98" i="1"/>
  <c r="F97" i="1"/>
  <c r="F96" i="1"/>
  <c r="F95" i="1"/>
  <c r="F94" i="1"/>
  <c r="F93" i="1"/>
  <c r="F92" i="1"/>
  <c r="F91" i="1"/>
  <c r="F89" i="1"/>
  <c r="F88" i="1"/>
  <c r="F87" i="1"/>
  <c r="F86" i="1"/>
  <c r="F85" i="1"/>
  <c r="F84" i="1"/>
  <c r="F83" i="1"/>
  <c r="F82" i="1"/>
  <c r="F81" i="1"/>
  <c r="F80" i="1"/>
  <c r="F79" i="1"/>
  <c r="F77" i="1"/>
  <c r="F76" i="1"/>
  <c r="F75" i="1"/>
  <c r="F74" i="1"/>
  <c r="F73" i="1"/>
  <c r="F72" i="1"/>
  <c r="F71" i="1"/>
  <c r="F70" i="1"/>
  <c r="F69" i="1"/>
  <c r="F68" i="1"/>
  <c r="F67" i="1"/>
  <c r="F65" i="1"/>
  <c r="F64" i="1"/>
  <c r="F63" i="1"/>
  <c r="F62" i="1"/>
  <c r="F61" i="1"/>
  <c r="F60" i="1"/>
  <c r="F59" i="1"/>
  <c r="F58" i="1"/>
  <c r="F57" i="1"/>
  <c r="F56" i="1"/>
  <c r="F55" i="1"/>
  <c r="F52" i="1"/>
  <c r="F51" i="1"/>
  <c r="F49" i="1"/>
  <c r="F48" i="1"/>
  <c r="F46" i="1"/>
  <c r="F43" i="1"/>
  <c r="F42" i="1"/>
  <c r="F41" i="1"/>
  <c r="F39" i="1"/>
  <c r="F37" i="1"/>
  <c r="F36" i="1"/>
  <c r="F35" i="1"/>
  <c r="F33" i="1"/>
  <c r="F31" i="1"/>
  <c r="F30" i="1"/>
  <c r="F29" i="1"/>
  <c r="F27" i="1"/>
  <c r="F25" i="1"/>
  <c r="F24" i="1"/>
  <c r="F23" i="1"/>
  <c r="F22" i="1"/>
  <c r="F20" i="1"/>
  <c r="F19" i="1"/>
  <c r="F16" i="1"/>
  <c r="N39" i="1" l="1"/>
  <c r="L23" i="1"/>
  <c r="L48" i="1"/>
  <c r="L20" i="1"/>
  <c r="L25" i="1"/>
  <c r="L31" i="1"/>
  <c r="L51" i="1"/>
  <c r="L22" i="1"/>
  <c r="L27" i="1"/>
  <c r="L46" i="1"/>
  <c r="L52" i="1"/>
  <c r="L16" i="1"/>
  <c r="L29" i="1"/>
  <c r="L19" i="1"/>
  <c r="L24" i="1"/>
  <c r="L30" i="1"/>
  <c r="L49" i="1"/>
  <c r="J25" i="1"/>
  <c r="J37" i="1"/>
  <c r="J16" i="1"/>
  <c r="J23" i="1"/>
  <c r="J29" i="1"/>
  <c r="J35" i="1"/>
  <c r="J41" i="1"/>
  <c r="J48" i="1"/>
  <c r="J55" i="1"/>
  <c r="J59" i="1"/>
  <c r="J63" i="1"/>
  <c r="J68" i="1"/>
  <c r="J72" i="1"/>
  <c r="J76" i="1"/>
  <c r="J81" i="1"/>
  <c r="J85" i="1"/>
  <c r="J89" i="1"/>
  <c r="J94" i="1"/>
  <c r="J98" i="1"/>
  <c r="J103" i="1"/>
  <c r="J107" i="1"/>
  <c r="J112" i="1"/>
  <c r="J117" i="1"/>
  <c r="J121" i="1"/>
  <c r="J125" i="1"/>
  <c r="J130" i="1"/>
  <c r="J134" i="1"/>
  <c r="J139" i="1"/>
  <c r="J143" i="1"/>
  <c r="J148" i="1"/>
  <c r="J153" i="1"/>
  <c r="J157" i="1"/>
  <c r="J161" i="1"/>
  <c r="J166" i="1"/>
  <c r="J170" i="1"/>
  <c r="J175" i="1"/>
  <c r="J179" i="1"/>
  <c r="J183" i="1"/>
  <c r="J188" i="1"/>
  <c r="J192" i="1"/>
  <c r="J196" i="1"/>
  <c r="J201" i="1"/>
  <c r="J205" i="1"/>
  <c r="J209" i="1"/>
  <c r="J19" i="1"/>
  <c r="J24" i="1"/>
  <c r="J30" i="1"/>
  <c r="J36" i="1"/>
  <c r="J42" i="1"/>
  <c r="J49" i="1"/>
  <c r="J56" i="1"/>
  <c r="J60" i="1"/>
  <c r="J64" i="1"/>
  <c r="J69" i="1"/>
  <c r="J73" i="1"/>
  <c r="J77" i="1"/>
  <c r="J82" i="1"/>
  <c r="J86" i="1"/>
  <c r="J91" i="1"/>
  <c r="J95" i="1"/>
  <c r="J99" i="1"/>
  <c r="J104" i="1"/>
  <c r="J109" i="1"/>
  <c r="J113" i="1"/>
  <c r="J118" i="1"/>
  <c r="J122" i="1"/>
  <c r="J127" i="1"/>
  <c r="J131" i="1"/>
  <c r="J135" i="1"/>
  <c r="J140" i="1"/>
  <c r="J145" i="1"/>
  <c r="J149" i="1"/>
  <c r="J154" i="1"/>
  <c r="J158" i="1"/>
  <c r="J163" i="1"/>
  <c r="J167" i="1"/>
  <c r="J171" i="1"/>
  <c r="J176" i="1"/>
  <c r="J180" i="1"/>
  <c r="J184" i="1"/>
  <c r="J189" i="1"/>
  <c r="J193" i="1"/>
  <c r="J197" i="1"/>
  <c r="J202" i="1"/>
  <c r="J206" i="1"/>
  <c r="J20" i="1"/>
  <c r="J31" i="1"/>
  <c r="J43" i="1"/>
  <c r="J51" i="1"/>
  <c r="J57" i="1"/>
  <c r="J61" i="1"/>
  <c r="J65" i="1"/>
  <c r="J70" i="1"/>
  <c r="J74" i="1"/>
  <c r="J79" i="1"/>
  <c r="J83" i="1"/>
  <c r="J87" i="1"/>
  <c r="J92" i="1"/>
  <c r="J96" i="1"/>
  <c r="J100" i="1"/>
  <c r="J105" i="1"/>
  <c r="J110" i="1"/>
  <c r="J115" i="1"/>
  <c r="J119" i="1"/>
  <c r="J123" i="1"/>
  <c r="J128" i="1"/>
  <c r="J132" i="1"/>
  <c r="J136" i="1"/>
  <c r="J141" i="1"/>
  <c r="J146" i="1"/>
  <c r="J151" i="1"/>
  <c r="J155" i="1"/>
  <c r="J159" i="1"/>
  <c r="J164" i="1"/>
  <c r="J168" i="1"/>
  <c r="J172" i="1"/>
  <c r="J177" i="1"/>
  <c r="J181" i="1"/>
  <c r="J185" i="1"/>
  <c r="J190" i="1"/>
  <c r="J194" i="1"/>
  <c r="J199" i="1"/>
  <c r="J203" i="1"/>
  <c r="J207" i="1"/>
  <c r="J22" i="1"/>
  <c r="J27" i="1"/>
  <c r="J33" i="1"/>
  <c r="J39" i="1"/>
  <c r="J46" i="1"/>
  <c r="J52" i="1"/>
  <c r="J58" i="1"/>
  <c r="J62" i="1"/>
  <c r="J67" i="1"/>
  <c r="J71" i="1"/>
  <c r="J75" i="1"/>
  <c r="J80" i="1"/>
  <c r="J84" i="1"/>
  <c r="J88" i="1"/>
  <c r="J93" i="1"/>
  <c r="J97" i="1"/>
  <c r="J101" i="1"/>
  <c r="J106" i="1"/>
  <c r="J111" i="1"/>
  <c r="J116" i="1"/>
  <c r="J120" i="1"/>
  <c r="J124" i="1"/>
  <c r="J129" i="1"/>
  <c r="J133" i="1"/>
  <c r="J137" i="1"/>
  <c r="J142" i="1"/>
  <c r="J147" i="1"/>
  <c r="J152" i="1"/>
  <c r="J156" i="1"/>
  <c r="J160" i="1"/>
  <c r="J165" i="1"/>
  <c r="J169" i="1"/>
  <c r="J173" i="1"/>
  <c r="J178" i="1"/>
  <c r="J182" i="1"/>
  <c r="J187" i="1"/>
  <c r="J191" i="1"/>
  <c r="J195" i="1"/>
  <c r="J200" i="1"/>
  <c r="J204" i="1"/>
  <c r="J208" i="1"/>
  <c r="AC28" i="1"/>
  <c r="AD28" i="1"/>
  <c r="AC38" i="1"/>
  <c r="AD38" i="1"/>
  <c r="AC54" i="1"/>
  <c r="AD54" i="1"/>
  <c r="G29" i="1"/>
  <c r="I29" i="1" s="1"/>
  <c r="G48" i="1"/>
  <c r="I48" i="1" s="1"/>
  <c r="G63" i="1"/>
  <c r="I63" i="1" s="1"/>
  <c r="G76" i="1"/>
  <c r="I76" i="1" s="1"/>
  <c r="N89" i="1"/>
  <c r="G89" i="1"/>
  <c r="I89" i="1" s="1"/>
  <c r="N94" i="1"/>
  <c r="G94" i="1"/>
  <c r="I94" i="1" s="1"/>
  <c r="N107" i="1"/>
  <c r="G107" i="1"/>
  <c r="I107" i="1" s="1"/>
  <c r="N121" i="1"/>
  <c r="G121" i="1"/>
  <c r="I121" i="1" s="1"/>
  <c r="N125" i="1"/>
  <c r="G125" i="1"/>
  <c r="I125" i="1" s="1"/>
  <c r="N134" i="1"/>
  <c r="G134" i="1"/>
  <c r="I134" i="1" s="1"/>
  <c r="N143" i="1"/>
  <c r="G143" i="1"/>
  <c r="I143" i="1" s="1"/>
  <c r="N148" i="1"/>
  <c r="G148" i="1"/>
  <c r="I148" i="1" s="1"/>
  <c r="N153" i="1"/>
  <c r="G153" i="1"/>
  <c r="I153" i="1" s="1"/>
  <c r="N157" i="1"/>
  <c r="G157" i="1"/>
  <c r="I157" i="1" s="1"/>
  <c r="N161" i="1"/>
  <c r="G161" i="1"/>
  <c r="I161" i="1" s="1"/>
  <c r="K161" i="1" s="1"/>
  <c r="T161" i="1" s="1"/>
  <c r="N166" i="1"/>
  <c r="G166" i="1"/>
  <c r="I166" i="1" s="1"/>
  <c r="N170" i="1"/>
  <c r="G170" i="1"/>
  <c r="I170" i="1" s="1"/>
  <c r="G175" i="1"/>
  <c r="I175" i="1" s="1"/>
  <c r="G179" i="1"/>
  <c r="I179" i="1" s="1"/>
  <c r="G183" i="1"/>
  <c r="I183" i="1" s="1"/>
  <c r="G188" i="1"/>
  <c r="I188" i="1" s="1"/>
  <c r="N192" i="1"/>
  <c r="G192" i="1"/>
  <c r="I192" i="1" s="1"/>
  <c r="G196" i="1"/>
  <c r="I196" i="1" s="1"/>
  <c r="N201" i="1"/>
  <c r="G201" i="1"/>
  <c r="I201" i="1" s="1"/>
  <c r="G205" i="1"/>
  <c r="I205" i="1" s="1"/>
  <c r="N209" i="1"/>
  <c r="G209" i="1"/>
  <c r="I209" i="1" s="1"/>
  <c r="G19" i="1"/>
  <c r="G24" i="1"/>
  <c r="I24" i="1" s="1"/>
  <c r="G30" i="1"/>
  <c r="I30" i="1" s="1"/>
  <c r="N36" i="1"/>
  <c r="G36" i="1"/>
  <c r="I36" i="1" s="1"/>
  <c r="N42" i="1"/>
  <c r="G42" i="1"/>
  <c r="I42" i="1" s="1"/>
  <c r="G49" i="1"/>
  <c r="I49" i="1" s="1"/>
  <c r="K49" i="1" s="1"/>
  <c r="R49" i="1" s="1"/>
  <c r="G56" i="1"/>
  <c r="I56" i="1" s="1"/>
  <c r="G60" i="1"/>
  <c r="I60" i="1" s="1"/>
  <c r="G64" i="1"/>
  <c r="I64" i="1" s="1"/>
  <c r="N69" i="1"/>
  <c r="G69" i="1"/>
  <c r="I69" i="1" s="1"/>
  <c r="N73" i="1"/>
  <c r="G73" i="1"/>
  <c r="I73" i="1" s="1"/>
  <c r="N77" i="1"/>
  <c r="G77" i="1"/>
  <c r="I77" i="1" s="1"/>
  <c r="N82" i="1"/>
  <c r="G82" i="1"/>
  <c r="I82" i="1" s="1"/>
  <c r="N86" i="1"/>
  <c r="G86" i="1"/>
  <c r="I86" i="1" s="1"/>
  <c r="G91" i="1"/>
  <c r="I91" i="1" s="1"/>
  <c r="N95" i="1"/>
  <c r="G95" i="1"/>
  <c r="I95" i="1" s="1"/>
  <c r="N99" i="1"/>
  <c r="G99" i="1"/>
  <c r="I99" i="1" s="1"/>
  <c r="G104" i="1"/>
  <c r="I104" i="1" s="1"/>
  <c r="N109" i="1"/>
  <c r="G109" i="1"/>
  <c r="I109" i="1" s="1"/>
  <c r="N113" i="1"/>
  <c r="G113" i="1"/>
  <c r="I113" i="1" s="1"/>
  <c r="N118" i="1"/>
  <c r="G118" i="1"/>
  <c r="N122" i="1"/>
  <c r="G122" i="1"/>
  <c r="I122" i="1" s="1"/>
  <c r="G127" i="1"/>
  <c r="I127" i="1" s="1"/>
  <c r="N131" i="1"/>
  <c r="G131" i="1"/>
  <c r="I131" i="1" s="1"/>
  <c r="G135" i="1"/>
  <c r="I135" i="1" s="1"/>
  <c r="G140" i="1"/>
  <c r="I140" i="1" s="1"/>
  <c r="N145" i="1"/>
  <c r="G145" i="1"/>
  <c r="I145" i="1" s="1"/>
  <c r="N149" i="1"/>
  <c r="G149" i="1"/>
  <c r="I149" i="1" s="1"/>
  <c r="N154" i="1"/>
  <c r="G154" i="1"/>
  <c r="I154" i="1" s="1"/>
  <c r="N158" i="1"/>
  <c r="G158" i="1"/>
  <c r="I158" i="1" s="1"/>
  <c r="N163" i="1"/>
  <c r="G163" i="1"/>
  <c r="I163" i="1" s="1"/>
  <c r="N167" i="1"/>
  <c r="G167" i="1"/>
  <c r="I167" i="1" s="1"/>
  <c r="N171" i="1"/>
  <c r="G171" i="1"/>
  <c r="I171" i="1" s="1"/>
  <c r="G176" i="1"/>
  <c r="I176" i="1" s="1"/>
  <c r="G180" i="1"/>
  <c r="I180" i="1" s="1"/>
  <c r="G184" i="1"/>
  <c r="I184" i="1" s="1"/>
  <c r="G189" i="1"/>
  <c r="I189" i="1" s="1"/>
  <c r="N193" i="1"/>
  <c r="G193" i="1"/>
  <c r="I193" i="1" s="1"/>
  <c r="G197" i="1"/>
  <c r="I197" i="1" s="1"/>
  <c r="N202" i="1"/>
  <c r="G202" i="1"/>
  <c r="I202" i="1" s="1"/>
  <c r="G206" i="1"/>
  <c r="I206" i="1" s="1"/>
  <c r="G16" i="1"/>
  <c r="N35" i="1"/>
  <c r="G35" i="1"/>
  <c r="I35" i="1" s="1"/>
  <c r="G55" i="1"/>
  <c r="I55" i="1" s="1"/>
  <c r="G68" i="1"/>
  <c r="I68" i="1" s="1"/>
  <c r="N85" i="1"/>
  <c r="G85" i="1"/>
  <c r="I85" i="1" s="1"/>
  <c r="G103" i="1"/>
  <c r="I103" i="1" s="1"/>
  <c r="N117" i="1"/>
  <c r="G117" i="1"/>
  <c r="I117" i="1" s="1"/>
  <c r="G130" i="1"/>
  <c r="I130" i="1" s="1"/>
  <c r="G20" i="1"/>
  <c r="I20" i="1" s="1"/>
  <c r="G25" i="1"/>
  <c r="I25" i="1" s="1"/>
  <c r="G31" i="1"/>
  <c r="I31" i="1" s="1"/>
  <c r="N37" i="1"/>
  <c r="G37" i="1"/>
  <c r="I37" i="1" s="1"/>
  <c r="N43" i="1"/>
  <c r="G43" i="1"/>
  <c r="I43" i="1" s="1"/>
  <c r="G51" i="1"/>
  <c r="G57" i="1"/>
  <c r="G61" i="1"/>
  <c r="I61" i="1" s="1"/>
  <c r="G65" i="1"/>
  <c r="I65" i="1" s="1"/>
  <c r="N70" i="1"/>
  <c r="G70" i="1"/>
  <c r="I70" i="1" s="1"/>
  <c r="K70" i="1" s="1"/>
  <c r="T70" i="1" s="1"/>
  <c r="G74" i="1"/>
  <c r="I74" i="1" s="1"/>
  <c r="G79" i="1"/>
  <c r="I79" i="1" s="1"/>
  <c r="K79" i="1" s="1"/>
  <c r="S79" i="1" s="1"/>
  <c r="N83" i="1"/>
  <c r="G83" i="1"/>
  <c r="I83" i="1" s="1"/>
  <c r="N87" i="1"/>
  <c r="G87" i="1"/>
  <c r="I87" i="1" s="1"/>
  <c r="G92" i="1"/>
  <c r="I92" i="1" s="1"/>
  <c r="N96" i="1"/>
  <c r="G96" i="1"/>
  <c r="N100" i="1"/>
  <c r="G100" i="1"/>
  <c r="I100" i="1" s="1"/>
  <c r="N105" i="1"/>
  <c r="G105" i="1"/>
  <c r="I105" i="1" s="1"/>
  <c r="N110" i="1"/>
  <c r="G110" i="1"/>
  <c r="I110" i="1" s="1"/>
  <c r="G115" i="1"/>
  <c r="I115" i="1" s="1"/>
  <c r="N119" i="1"/>
  <c r="G119" i="1"/>
  <c r="I119" i="1" s="1"/>
  <c r="N123" i="1"/>
  <c r="G123" i="1"/>
  <c r="I123" i="1" s="1"/>
  <c r="G128" i="1"/>
  <c r="I128" i="1" s="1"/>
  <c r="N132" i="1"/>
  <c r="G132" i="1"/>
  <c r="I132" i="1" s="1"/>
  <c r="G136" i="1"/>
  <c r="I136" i="1" s="1"/>
  <c r="G141" i="1"/>
  <c r="I141" i="1" s="1"/>
  <c r="N146" i="1"/>
  <c r="G146" i="1"/>
  <c r="I146" i="1" s="1"/>
  <c r="K146" i="1" s="1"/>
  <c r="T146" i="1" s="1"/>
  <c r="G151" i="1"/>
  <c r="I151" i="1" s="1"/>
  <c r="N155" i="1"/>
  <c r="G155" i="1"/>
  <c r="I155" i="1" s="1"/>
  <c r="N159" i="1"/>
  <c r="G159" i="1"/>
  <c r="I159" i="1" s="1"/>
  <c r="K159" i="1" s="1"/>
  <c r="T159" i="1" s="1"/>
  <c r="N164" i="1"/>
  <c r="G164" i="1"/>
  <c r="I164" i="1" s="1"/>
  <c r="N168" i="1"/>
  <c r="G168" i="1"/>
  <c r="I168" i="1" s="1"/>
  <c r="N172" i="1"/>
  <c r="G172" i="1"/>
  <c r="I172" i="1" s="1"/>
  <c r="G177" i="1"/>
  <c r="I177" i="1" s="1"/>
  <c r="G181" i="1"/>
  <c r="I181" i="1" s="1"/>
  <c r="G185" i="1"/>
  <c r="I185" i="1" s="1"/>
  <c r="G190" i="1"/>
  <c r="I190" i="1" s="1"/>
  <c r="G194" i="1"/>
  <c r="I194" i="1" s="1"/>
  <c r="G199" i="1"/>
  <c r="I199" i="1" s="1"/>
  <c r="N203" i="1"/>
  <c r="G203" i="1"/>
  <c r="I203" i="1" s="1"/>
  <c r="K203" i="1" s="1"/>
  <c r="T203" i="1" s="1"/>
  <c r="G207" i="1"/>
  <c r="I207" i="1" s="1"/>
  <c r="G23" i="1"/>
  <c r="I23" i="1" s="1"/>
  <c r="N41" i="1"/>
  <c r="G41" i="1"/>
  <c r="I41" i="1" s="1"/>
  <c r="G59" i="1"/>
  <c r="I59" i="1" s="1"/>
  <c r="N72" i="1"/>
  <c r="G72" i="1"/>
  <c r="I72" i="1" s="1"/>
  <c r="N81" i="1"/>
  <c r="G81" i="1"/>
  <c r="I81" i="1" s="1"/>
  <c r="N98" i="1"/>
  <c r="G98" i="1"/>
  <c r="I98" i="1" s="1"/>
  <c r="N112" i="1"/>
  <c r="G112" i="1"/>
  <c r="I112" i="1" s="1"/>
  <c r="G139" i="1"/>
  <c r="I139" i="1" s="1"/>
  <c r="G22" i="1"/>
  <c r="I22" i="1" s="1"/>
  <c r="G27" i="1"/>
  <c r="I27" i="1" s="1"/>
  <c r="N33" i="1"/>
  <c r="G33" i="1"/>
  <c r="I33" i="1" s="1"/>
  <c r="G39" i="1"/>
  <c r="G46" i="1"/>
  <c r="I46" i="1" s="1"/>
  <c r="G52" i="1"/>
  <c r="I52" i="1" s="1"/>
  <c r="K52" i="1" s="1"/>
  <c r="R52" i="1" s="1"/>
  <c r="G58" i="1"/>
  <c r="I58" i="1" s="1"/>
  <c r="G62" i="1"/>
  <c r="I62" i="1" s="1"/>
  <c r="G67" i="1"/>
  <c r="I67" i="1" s="1"/>
  <c r="N71" i="1"/>
  <c r="G71" i="1"/>
  <c r="I71" i="1" s="1"/>
  <c r="G75" i="1"/>
  <c r="I75" i="1" s="1"/>
  <c r="G80" i="1"/>
  <c r="I80" i="1" s="1"/>
  <c r="N84" i="1"/>
  <c r="G84" i="1"/>
  <c r="I84" i="1" s="1"/>
  <c r="K84" i="1" s="1"/>
  <c r="T84" i="1" s="1"/>
  <c r="N88" i="1"/>
  <c r="G88" i="1"/>
  <c r="I88" i="1" s="1"/>
  <c r="N93" i="1"/>
  <c r="G93" i="1"/>
  <c r="I93" i="1" s="1"/>
  <c r="N97" i="1"/>
  <c r="G97" i="1"/>
  <c r="I97" i="1" s="1"/>
  <c r="N101" i="1"/>
  <c r="G101" i="1"/>
  <c r="I101" i="1" s="1"/>
  <c r="K101" i="1" s="1"/>
  <c r="T101" i="1" s="1"/>
  <c r="N106" i="1"/>
  <c r="G106" i="1"/>
  <c r="I106" i="1" s="1"/>
  <c r="N111" i="1"/>
  <c r="G111" i="1"/>
  <c r="I111" i="1" s="1"/>
  <c r="G116" i="1"/>
  <c r="I116" i="1" s="1"/>
  <c r="N120" i="1"/>
  <c r="G120" i="1"/>
  <c r="I120" i="1" s="1"/>
  <c r="N124" i="1"/>
  <c r="G124" i="1"/>
  <c r="I124" i="1" s="1"/>
  <c r="K124" i="1" s="1"/>
  <c r="T124" i="1" s="1"/>
  <c r="G129" i="1"/>
  <c r="I129" i="1" s="1"/>
  <c r="N133" i="1"/>
  <c r="G133" i="1"/>
  <c r="I133" i="1" s="1"/>
  <c r="G137" i="1"/>
  <c r="I137" i="1" s="1"/>
  <c r="N142" i="1"/>
  <c r="G142" i="1"/>
  <c r="I142" i="1" s="1"/>
  <c r="N147" i="1"/>
  <c r="G147" i="1"/>
  <c r="I147" i="1" s="1"/>
  <c r="G152" i="1"/>
  <c r="I152" i="1" s="1"/>
  <c r="N156" i="1"/>
  <c r="G156" i="1"/>
  <c r="I156" i="1" s="1"/>
  <c r="K156" i="1" s="1"/>
  <c r="T156" i="1" s="1"/>
  <c r="N160" i="1"/>
  <c r="G160" i="1"/>
  <c r="I160" i="1" s="1"/>
  <c r="N165" i="1"/>
  <c r="G165" i="1"/>
  <c r="I165" i="1" s="1"/>
  <c r="N169" i="1"/>
  <c r="G169" i="1"/>
  <c r="I169" i="1" s="1"/>
  <c r="N173" i="1"/>
  <c r="G173" i="1"/>
  <c r="I173" i="1" s="1"/>
  <c r="K173" i="1" s="1"/>
  <c r="T173" i="1" s="1"/>
  <c r="G178" i="1"/>
  <c r="I178" i="1" s="1"/>
  <c r="G182" i="1"/>
  <c r="I182" i="1" s="1"/>
  <c r="G187" i="1"/>
  <c r="I187" i="1" s="1"/>
  <c r="N191" i="1"/>
  <c r="G191" i="1"/>
  <c r="I191" i="1" s="1"/>
  <c r="G195" i="1"/>
  <c r="I195" i="1" s="1"/>
  <c r="G200" i="1"/>
  <c r="I200" i="1" s="1"/>
  <c r="G204" i="1"/>
  <c r="I204" i="1" s="1"/>
  <c r="G208" i="1"/>
  <c r="I208" i="1" s="1"/>
  <c r="F210" i="1"/>
  <c r="F211" i="1" s="1"/>
  <c r="M56" i="1"/>
  <c r="M58" i="1"/>
  <c r="M60" i="1"/>
  <c r="M62" i="1"/>
  <c r="M64" i="1"/>
  <c r="M67" i="1"/>
  <c r="M75" i="1"/>
  <c r="M80" i="1"/>
  <c r="M91" i="1"/>
  <c r="M104" i="1"/>
  <c r="M116" i="1"/>
  <c r="M127" i="1"/>
  <c r="M129" i="1"/>
  <c r="M135" i="1"/>
  <c r="M137" i="1"/>
  <c r="M140" i="1"/>
  <c r="M152" i="1"/>
  <c r="M176" i="1"/>
  <c r="M182" i="1"/>
  <c r="M184" i="1"/>
  <c r="M187" i="1"/>
  <c r="M195" i="1"/>
  <c r="M200" i="1"/>
  <c r="M204" i="1"/>
  <c r="M206" i="1"/>
  <c r="M208" i="1"/>
  <c r="M55" i="1"/>
  <c r="M57" i="1"/>
  <c r="M59" i="1"/>
  <c r="M61" i="1"/>
  <c r="M63" i="1"/>
  <c r="M65" i="1"/>
  <c r="M68" i="1"/>
  <c r="M74" i="1"/>
  <c r="M76" i="1"/>
  <c r="M79" i="1"/>
  <c r="M92" i="1"/>
  <c r="M103" i="1"/>
  <c r="M115" i="1"/>
  <c r="M128" i="1"/>
  <c r="M130" i="1"/>
  <c r="M136" i="1"/>
  <c r="M139" i="1"/>
  <c r="M141" i="1"/>
  <c r="M151" i="1"/>
  <c r="M175" i="1"/>
  <c r="M183" i="1"/>
  <c r="M188" i="1"/>
  <c r="M194" i="1"/>
  <c r="M196" i="1"/>
  <c r="M199" i="1"/>
  <c r="M205" i="1"/>
  <c r="M207" i="1"/>
  <c r="M178" i="1"/>
  <c r="N178" i="1"/>
  <c r="M180" i="1"/>
  <c r="N180" i="1"/>
  <c r="M189" i="1"/>
  <c r="N189" i="1" s="1"/>
  <c r="M197" i="1"/>
  <c r="N197" i="1" s="1"/>
  <c r="M177" i="1"/>
  <c r="N177" i="1"/>
  <c r="M179" i="1"/>
  <c r="N179" i="1"/>
  <c r="M181" i="1"/>
  <c r="N181" i="1"/>
  <c r="M185" i="1"/>
  <c r="N185" i="1"/>
  <c r="M190" i="1"/>
  <c r="N190" i="1" s="1"/>
  <c r="M39" i="1"/>
  <c r="I57" i="1"/>
  <c r="I118" i="1"/>
  <c r="I144" i="1"/>
  <c r="I39" i="1"/>
  <c r="I19" i="1"/>
  <c r="I51" i="1"/>
  <c r="I96" i="1"/>
  <c r="I34" i="1"/>
  <c r="I108" i="1"/>
  <c r="M211" i="1" l="1"/>
  <c r="L211" i="1"/>
  <c r="K135" i="1"/>
  <c r="S135" i="1" s="1"/>
  <c r="K39" i="1"/>
  <c r="AB39" i="1" s="1"/>
  <c r="K22" i="1"/>
  <c r="R22" i="1" s="1"/>
  <c r="K72" i="1"/>
  <c r="T72" i="1" s="1"/>
  <c r="K59" i="1"/>
  <c r="S59" i="1" s="1"/>
  <c r="K207" i="1"/>
  <c r="S207" i="1" s="1"/>
  <c r="K64" i="1"/>
  <c r="S64" i="1" s="1"/>
  <c r="K83" i="1"/>
  <c r="T83" i="1" s="1"/>
  <c r="K116" i="1"/>
  <c r="S116" i="1" s="1"/>
  <c r="K62" i="1"/>
  <c r="S62" i="1" s="1"/>
  <c r="K68" i="1"/>
  <c r="S68" i="1" s="1"/>
  <c r="K197" i="1"/>
  <c r="S197" i="1" s="1"/>
  <c r="T197" i="1" s="1"/>
  <c r="K184" i="1"/>
  <c r="S184" i="1" s="1"/>
  <c r="K149" i="1"/>
  <c r="T149" i="1" s="1"/>
  <c r="K103" i="1"/>
  <c r="S103" i="1" s="1"/>
  <c r="K158" i="1"/>
  <c r="T158" i="1" s="1"/>
  <c r="K169" i="1"/>
  <c r="T169" i="1" s="1"/>
  <c r="K97" i="1"/>
  <c r="T97" i="1" s="1"/>
  <c r="K80" i="1"/>
  <c r="S80" i="1" s="1"/>
  <c r="K155" i="1"/>
  <c r="T155" i="1" s="1"/>
  <c r="K43" i="1"/>
  <c r="T43" i="1" s="1"/>
  <c r="K24" i="1"/>
  <c r="R24" i="1" s="1"/>
  <c r="K166" i="1"/>
  <c r="T166" i="1" s="1"/>
  <c r="K148" i="1"/>
  <c r="T148" i="1" s="1"/>
  <c r="K76" i="1"/>
  <c r="S76" i="1" s="1"/>
  <c r="K82" i="1"/>
  <c r="T82" i="1" s="1"/>
  <c r="K56" i="1"/>
  <c r="S56" i="1" s="1"/>
  <c r="K196" i="1"/>
  <c r="S196" i="1" s="1"/>
  <c r="K109" i="1"/>
  <c r="T109" i="1" s="1"/>
  <c r="K187" i="1"/>
  <c r="S187" i="1" s="1"/>
  <c r="K100" i="1"/>
  <c r="T100" i="1" s="1"/>
  <c r="K202" i="1"/>
  <c r="T202" i="1" s="1"/>
  <c r="K167" i="1"/>
  <c r="T167" i="1" s="1"/>
  <c r="K113" i="1"/>
  <c r="T113" i="1" s="1"/>
  <c r="K209" i="1"/>
  <c r="T209" i="1" s="1"/>
  <c r="K139" i="1"/>
  <c r="S139" i="1" s="1"/>
  <c r="K48" i="1"/>
  <c r="R48" i="1" s="1"/>
  <c r="K23" i="1"/>
  <c r="R23" i="1" s="1"/>
  <c r="K137" i="1"/>
  <c r="S137" i="1" s="1"/>
  <c r="K105" i="1"/>
  <c r="T105" i="1" s="1"/>
  <c r="K25" i="1"/>
  <c r="R25" i="1" s="1"/>
  <c r="K142" i="1"/>
  <c r="T142" i="1" s="1"/>
  <c r="K71" i="1"/>
  <c r="T71" i="1" s="1"/>
  <c r="K199" i="1"/>
  <c r="S199" i="1" s="1"/>
  <c r="K181" i="1"/>
  <c r="S181" i="1" s="1"/>
  <c r="T181" i="1" s="1"/>
  <c r="K110" i="1"/>
  <c r="T110" i="1" s="1"/>
  <c r="K92" i="1"/>
  <c r="S92" i="1" s="1"/>
  <c r="K57" i="1"/>
  <c r="S57" i="1" s="1"/>
  <c r="K193" i="1"/>
  <c r="T193" i="1" s="1"/>
  <c r="K176" i="1"/>
  <c r="S176" i="1" s="1"/>
  <c r="K122" i="1"/>
  <c r="T122" i="1" s="1"/>
  <c r="K104" i="1"/>
  <c r="S104" i="1" s="1"/>
  <c r="K183" i="1"/>
  <c r="S183" i="1" s="1"/>
  <c r="K130" i="1"/>
  <c r="S130" i="1" s="1"/>
  <c r="K112" i="1"/>
  <c r="T112" i="1" s="1"/>
  <c r="K37" i="1"/>
  <c r="T37" i="1" s="1"/>
  <c r="K182" i="1"/>
  <c r="S182" i="1" s="1"/>
  <c r="K88" i="1"/>
  <c r="T88" i="1" s="1"/>
  <c r="K46" i="1"/>
  <c r="R46" i="1" s="1"/>
  <c r="K164" i="1"/>
  <c r="T164" i="1" s="1"/>
  <c r="K31" i="1"/>
  <c r="R31" i="1" s="1"/>
  <c r="K189" i="1"/>
  <c r="K154" i="1"/>
  <c r="T154" i="1" s="1"/>
  <c r="K179" i="1"/>
  <c r="K157" i="1"/>
  <c r="T157" i="1" s="1"/>
  <c r="K94" i="1"/>
  <c r="T94" i="1" s="1"/>
  <c r="S39" i="1"/>
  <c r="K147" i="1"/>
  <c r="T147" i="1" s="1"/>
  <c r="K75" i="1"/>
  <c r="S75" i="1" s="1"/>
  <c r="K63" i="1"/>
  <c r="S63" i="1" s="1"/>
  <c r="K195" i="1"/>
  <c r="S195" i="1" s="1"/>
  <c r="K67" i="1"/>
  <c r="S67" i="1" s="1"/>
  <c r="K27" i="1"/>
  <c r="R27" i="1" s="1"/>
  <c r="K41" i="1"/>
  <c r="T41" i="1" s="1"/>
  <c r="K87" i="1"/>
  <c r="T87" i="1" s="1"/>
  <c r="K117" i="1"/>
  <c r="T117" i="1" s="1"/>
  <c r="K171" i="1"/>
  <c r="T171" i="1" s="1"/>
  <c r="K145" i="1"/>
  <c r="T145" i="1" s="1"/>
  <c r="K131" i="1"/>
  <c r="T131" i="1" s="1"/>
  <c r="K60" i="1"/>
  <c r="S60" i="1" s="1"/>
  <c r="K192" i="1"/>
  <c r="T192" i="1" s="1"/>
  <c r="K98" i="1"/>
  <c r="T98" i="1" s="1"/>
  <c r="K185" i="1"/>
  <c r="AB185" i="1" s="1"/>
  <c r="K86" i="1"/>
  <c r="T86" i="1" s="1"/>
  <c r="K201" i="1"/>
  <c r="T201" i="1" s="1"/>
  <c r="J211" i="1"/>
  <c r="K204" i="1"/>
  <c r="S204" i="1" s="1"/>
  <c r="K136" i="1"/>
  <c r="S136" i="1" s="1"/>
  <c r="K119" i="1"/>
  <c r="T119" i="1" s="1"/>
  <c r="K65" i="1"/>
  <c r="S65" i="1" s="1"/>
  <c r="K140" i="1"/>
  <c r="S140" i="1" s="1"/>
  <c r="K69" i="1"/>
  <c r="T69" i="1" s="1"/>
  <c r="K175" i="1"/>
  <c r="S175" i="1" s="1"/>
  <c r="K121" i="1"/>
  <c r="T121" i="1" s="1"/>
  <c r="K85" i="1"/>
  <c r="T85" i="1" s="1"/>
  <c r="K35" i="1"/>
  <c r="T35" i="1" s="1"/>
  <c r="K34" i="1"/>
  <c r="T34" i="1" s="1"/>
  <c r="AA23" i="1"/>
  <c r="AD23" i="1" s="1"/>
  <c r="AB49" i="1"/>
  <c r="AB124" i="1"/>
  <c r="K144" i="1"/>
  <c r="T144" i="1" s="1"/>
  <c r="K178" i="1"/>
  <c r="AB178" i="1" s="1"/>
  <c r="K160" i="1"/>
  <c r="T160" i="1" s="1"/>
  <c r="K152" i="1"/>
  <c r="S152" i="1" s="1"/>
  <c r="K133" i="1"/>
  <c r="T133" i="1" s="1"/>
  <c r="K106" i="1"/>
  <c r="T106" i="1" s="1"/>
  <c r="K190" i="1"/>
  <c r="K172" i="1"/>
  <c r="T172" i="1" s="1"/>
  <c r="K128" i="1"/>
  <c r="S128" i="1" s="1"/>
  <c r="K74" i="1"/>
  <c r="S74" i="1" s="1"/>
  <c r="K20" i="1"/>
  <c r="R20" i="1" s="1"/>
  <c r="K95" i="1"/>
  <c r="T95" i="1" s="1"/>
  <c r="K77" i="1"/>
  <c r="T77" i="1" s="1"/>
  <c r="K36" i="1"/>
  <c r="T36" i="1" s="1"/>
  <c r="AB193" i="1"/>
  <c r="V20" i="1"/>
  <c r="K108" i="1"/>
  <c r="T108" i="1" s="1"/>
  <c r="AB183" i="1"/>
  <c r="K208" i="1"/>
  <c r="S208" i="1" s="1"/>
  <c r="K200" i="1"/>
  <c r="S200" i="1" s="1"/>
  <c r="K191" i="1"/>
  <c r="T191" i="1" s="1"/>
  <c r="K165" i="1"/>
  <c r="T165" i="1" s="1"/>
  <c r="K129" i="1"/>
  <c r="S129" i="1" s="1"/>
  <c r="K120" i="1"/>
  <c r="T120" i="1" s="1"/>
  <c r="K111" i="1"/>
  <c r="T111" i="1" s="1"/>
  <c r="K93" i="1"/>
  <c r="T93" i="1" s="1"/>
  <c r="K58" i="1"/>
  <c r="S58" i="1" s="1"/>
  <c r="K33" i="1"/>
  <c r="T33" i="1" s="1"/>
  <c r="K194" i="1"/>
  <c r="S194" i="1" s="1"/>
  <c r="K177" i="1"/>
  <c r="AB177" i="1" s="1"/>
  <c r="K168" i="1"/>
  <c r="T168" i="1" s="1"/>
  <c r="K151" i="1"/>
  <c r="S151" i="1" s="1"/>
  <c r="K141" i="1"/>
  <c r="S141" i="1" s="1"/>
  <c r="K132" i="1"/>
  <c r="T132" i="1" s="1"/>
  <c r="K123" i="1"/>
  <c r="T123" i="1" s="1"/>
  <c r="K115" i="1"/>
  <c r="S115" i="1" s="1"/>
  <c r="K96" i="1"/>
  <c r="T96" i="1" s="1"/>
  <c r="K61" i="1"/>
  <c r="S61" i="1" s="1"/>
  <c r="K51" i="1"/>
  <c r="R51" i="1" s="1"/>
  <c r="K206" i="1"/>
  <c r="S206" i="1" s="1"/>
  <c r="K180" i="1"/>
  <c r="AB180" i="1" s="1"/>
  <c r="K163" i="1"/>
  <c r="T163" i="1" s="1"/>
  <c r="K127" i="1"/>
  <c r="S127" i="1" s="1"/>
  <c r="K118" i="1"/>
  <c r="T118" i="1" s="1"/>
  <c r="K99" i="1"/>
  <c r="T99" i="1" s="1"/>
  <c r="K91" i="1"/>
  <c r="S91" i="1" s="1"/>
  <c r="K73" i="1"/>
  <c r="T73" i="1" s="1"/>
  <c r="K42" i="1"/>
  <c r="T42" i="1" s="1"/>
  <c r="K30" i="1"/>
  <c r="R30" i="1" s="1"/>
  <c r="K19" i="1"/>
  <c r="R19" i="1" s="1"/>
  <c r="K205" i="1"/>
  <c r="S205" i="1" s="1"/>
  <c r="K188" i="1"/>
  <c r="S188" i="1" s="1"/>
  <c r="K170" i="1"/>
  <c r="T170" i="1" s="1"/>
  <c r="K153" i="1"/>
  <c r="T153" i="1" s="1"/>
  <c r="K143" i="1"/>
  <c r="T143" i="1" s="1"/>
  <c r="K134" i="1"/>
  <c r="T134" i="1" s="1"/>
  <c r="K125" i="1"/>
  <c r="T125" i="1" s="1"/>
  <c r="K107" i="1"/>
  <c r="T107" i="1" s="1"/>
  <c r="K89" i="1"/>
  <c r="T89" i="1" s="1"/>
  <c r="K81" i="1"/>
  <c r="T81" i="1" s="1"/>
  <c r="K55" i="1"/>
  <c r="S55" i="1" s="1"/>
  <c r="K29" i="1"/>
  <c r="R29" i="1" s="1"/>
  <c r="AB161" i="1"/>
  <c r="AB52" i="1"/>
  <c r="AB110" i="1"/>
  <c r="AB203" i="1"/>
  <c r="AB101" i="1"/>
  <c r="AB79" i="1"/>
  <c r="AB146" i="1"/>
  <c r="AB149" i="1"/>
  <c r="AB156" i="1"/>
  <c r="AB70" i="1"/>
  <c r="AB159" i="1"/>
  <c r="G211" i="1"/>
  <c r="I211" i="1" s="1"/>
  <c r="AB173" i="1"/>
  <c r="AB25" i="1"/>
  <c r="AB84" i="1"/>
  <c r="J210" i="1"/>
  <c r="F212" i="1"/>
  <c r="M210" i="1"/>
  <c r="N210" i="1"/>
  <c r="U201" i="1"/>
  <c r="U196" i="1"/>
  <c r="U188" i="1"/>
  <c r="U179" i="1"/>
  <c r="U166" i="1"/>
  <c r="U161" i="1"/>
  <c r="U153" i="1"/>
  <c r="U144" i="1"/>
  <c r="U135" i="1"/>
  <c r="U127" i="1"/>
  <c r="U118" i="1"/>
  <c r="U109" i="1"/>
  <c r="U100" i="1"/>
  <c r="U87" i="1"/>
  <c r="U79" i="1"/>
  <c r="U70" i="1"/>
  <c r="U65" i="1"/>
  <c r="U51" i="1"/>
  <c r="U37" i="1"/>
  <c r="V27" i="1"/>
  <c r="U27" i="1"/>
  <c r="U124" i="1"/>
  <c r="U107" i="1"/>
  <c r="U89" i="1"/>
  <c r="U72" i="1"/>
  <c r="U55" i="1"/>
  <c r="U30" i="1"/>
  <c r="U206" i="1"/>
  <c r="U180" i="1"/>
  <c r="U163" i="1"/>
  <c r="U149" i="1"/>
  <c r="U132" i="1"/>
  <c r="U115" i="1"/>
  <c r="U93" i="1"/>
  <c r="U75" i="1"/>
  <c r="U62" i="1"/>
  <c r="U39" i="1"/>
  <c r="U208" i="1"/>
  <c r="U200" i="1"/>
  <c r="U191" i="1"/>
  <c r="U182" i="1"/>
  <c r="U178" i="1"/>
  <c r="U169" i="1"/>
  <c r="U160" i="1"/>
  <c r="U152" i="1"/>
  <c r="U143" i="1"/>
  <c r="U134" i="1"/>
  <c r="U125" i="1"/>
  <c r="U117" i="1"/>
  <c r="U108" i="1"/>
  <c r="U99" i="1"/>
  <c r="U91" i="1"/>
  <c r="U82" i="1"/>
  <c r="U73" i="1"/>
  <c r="U64" i="1"/>
  <c r="U56" i="1"/>
  <c r="U42" i="1"/>
  <c r="U31" i="1"/>
  <c r="U20" i="1"/>
  <c r="U203" i="1"/>
  <c r="U194" i="1"/>
  <c r="U181" i="1"/>
  <c r="U172" i="1"/>
  <c r="U164" i="1"/>
  <c r="U155" i="1"/>
  <c r="U146" i="1"/>
  <c r="U137" i="1"/>
  <c r="U133" i="1"/>
  <c r="U120" i="1"/>
  <c r="U94" i="1"/>
  <c r="U76" i="1"/>
  <c r="U59" i="1"/>
  <c r="U35" i="1"/>
  <c r="U202" i="1"/>
  <c r="U193" i="1"/>
  <c r="U176" i="1"/>
  <c r="U158" i="1"/>
  <c r="U136" i="1"/>
  <c r="U119" i="1"/>
  <c r="U106" i="1"/>
  <c r="U88" i="1"/>
  <c r="U71" i="1"/>
  <c r="U46" i="1"/>
  <c r="U23" i="1"/>
  <c r="U209" i="1"/>
  <c r="U205" i="1"/>
  <c r="U192" i="1"/>
  <c r="U183" i="1"/>
  <c r="U175" i="1"/>
  <c r="U170" i="1"/>
  <c r="U157" i="1"/>
  <c r="U148" i="1"/>
  <c r="U140" i="1"/>
  <c r="U131" i="1"/>
  <c r="U122" i="1"/>
  <c r="U113" i="1"/>
  <c r="U105" i="1"/>
  <c r="U96" i="1"/>
  <c r="U92" i="1"/>
  <c r="U83" i="1"/>
  <c r="U74" i="1"/>
  <c r="U61" i="1"/>
  <c r="U57" i="1"/>
  <c r="U43" i="1"/>
  <c r="U33" i="1"/>
  <c r="V22" i="1"/>
  <c r="U22" i="1"/>
  <c r="U116" i="1"/>
  <c r="U98" i="1"/>
  <c r="U81" i="1"/>
  <c r="U63" i="1"/>
  <c r="U41" i="1"/>
  <c r="V19" i="1"/>
  <c r="U19" i="1"/>
  <c r="U189" i="1"/>
  <c r="U171" i="1"/>
  <c r="U154" i="1"/>
  <c r="U141" i="1"/>
  <c r="U123" i="1"/>
  <c r="U101" i="1"/>
  <c r="U84" i="1"/>
  <c r="U67" i="1"/>
  <c r="U52" i="1"/>
  <c r="U29" i="1"/>
  <c r="U16" i="1"/>
  <c r="V16" i="1"/>
  <c r="U204" i="1"/>
  <c r="U195" i="1"/>
  <c r="U187" i="1"/>
  <c r="U173" i="1"/>
  <c r="U165" i="1"/>
  <c r="U156" i="1"/>
  <c r="U147" i="1"/>
  <c r="U139" i="1"/>
  <c r="U130" i="1"/>
  <c r="U121" i="1"/>
  <c r="U112" i="1"/>
  <c r="U104" i="1"/>
  <c r="U95" i="1"/>
  <c r="U86" i="1"/>
  <c r="U77" i="1"/>
  <c r="U69" i="1"/>
  <c r="U60" i="1"/>
  <c r="U49" i="1"/>
  <c r="U36" i="1"/>
  <c r="U25" i="1"/>
  <c r="U207" i="1"/>
  <c r="U199" i="1"/>
  <c r="U190" i="1"/>
  <c r="U185" i="1"/>
  <c r="U177" i="1"/>
  <c r="U168" i="1"/>
  <c r="U159" i="1"/>
  <c r="U151" i="1"/>
  <c r="U142" i="1"/>
  <c r="U129" i="1"/>
  <c r="U111" i="1"/>
  <c r="U103" i="1"/>
  <c r="U85" i="1"/>
  <c r="U68" i="1"/>
  <c r="U48" i="1"/>
  <c r="V24" i="1"/>
  <c r="U24" i="1"/>
  <c r="U197" i="1"/>
  <c r="U184" i="1"/>
  <c r="U167" i="1"/>
  <c r="U145" i="1"/>
  <c r="U128" i="1"/>
  <c r="U110" i="1"/>
  <c r="U97" i="1"/>
  <c r="U80" i="1"/>
  <c r="U58" i="1"/>
  <c r="U34" i="1"/>
  <c r="G210" i="1"/>
  <c r="I16" i="1"/>
  <c r="N211" i="1" l="1"/>
  <c r="AB83" i="1"/>
  <c r="AB68" i="1"/>
  <c r="L212" i="1"/>
  <c r="N212" i="1"/>
  <c r="M212" i="1"/>
  <c r="AB139" i="1"/>
  <c r="AB135" i="1"/>
  <c r="AB64" i="1"/>
  <c r="AB209" i="1"/>
  <c r="AB97" i="1"/>
  <c r="AB166" i="1"/>
  <c r="AB103" i="1"/>
  <c r="AB22" i="1"/>
  <c r="AB59" i="1"/>
  <c r="AB82" i="1"/>
  <c r="AB24" i="1"/>
  <c r="AB181" i="1"/>
  <c r="AB62" i="1"/>
  <c r="AB23" i="1"/>
  <c r="AB113" i="1"/>
  <c r="AB187" i="1"/>
  <c r="R39" i="1"/>
  <c r="AB48" i="1"/>
  <c r="AB72" i="1"/>
  <c r="AB60" i="1"/>
  <c r="AB184" i="1"/>
  <c r="AB168" i="1"/>
  <c r="AB67" i="1"/>
  <c r="AB208" i="1"/>
  <c r="AB155" i="1"/>
  <c r="AB100" i="1"/>
  <c r="K210" i="1"/>
  <c r="AB116" i="1"/>
  <c r="AB158" i="1"/>
  <c r="AB197" i="1"/>
  <c r="AB148" i="1"/>
  <c r="AB92" i="1"/>
  <c r="AB80" i="1"/>
  <c r="AB207" i="1"/>
  <c r="AB105" i="1"/>
  <c r="AB104" i="1"/>
  <c r="AB37" i="1"/>
  <c r="AB169" i="1"/>
  <c r="AB109" i="1"/>
  <c r="AB76" i="1"/>
  <c r="AB112" i="1"/>
  <c r="AB57" i="1"/>
  <c r="AB36" i="1"/>
  <c r="AB144" i="1"/>
  <c r="AB199" i="1"/>
  <c r="AB69" i="1"/>
  <c r="AB89" i="1"/>
  <c r="AB86" i="1"/>
  <c r="AB117" i="1"/>
  <c r="AB75" i="1"/>
  <c r="K211" i="1"/>
  <c r="AB211" i="1" s="1"/>
  <c r="AB106" i="1"/>
  <c r="AB98" i="1"/>
  <c r="AB41" i="1"/>
  <c r="AB167" i="1"/>
  <c r="AB43" i="1"/>
  <c r="AB121" i="1"/>
  <c r="AB145" i="1"/>
  <c r="AB137" i="1"/>
  <c r="AB200" i="1"/>
  <c r="AB206" i="1"/>
  <c r="AB196" i="1"/>
  <c r="AB176" i="1"/>
  <c r="AB127" i="1"/>
  <c r="AB152" i="1"/>
  <c r="AB151" i="1"/>
  <c r="AB73" i="1"/>
  <c r="AB129" i="1"/>
  <c r="AB136" i="1"/>
  <c r="AB201" i="1"/>
  <c r="AB192" i="1"/>
  <c r="AB131" i="1"/>
  <c r="AB171" i="1"/>
  <c r="AB87" i="1"/>
  <c r="AB27" i="1"/>
  <c r="AB195" i="1"/>
  <c r="AB63" i="1"/>
  <c r="AB147" i="1"/>
  <c r="AB96" i="1"/>
  <c r="AB122" i="1"/>
  <c r="AB142" i="1"/>
  <c r="AB202" i="1"/>
  <c r="AB56" i="1"/>
  <c r="AB130" i="1"/>
  <c r="AB95" i="1"/>
  <c r="AB205" i="1"/>
  <c r="AB71" i="1"/>
  <c r="AB191" i="1"/>
  <c r="AB99" i="1"/>
  <c r="Q16" i="1"/>
  <c r="Q210" i="1" s="1"/>
  <c r="Q211" i="1" s="1"/>
  <c r="AB132" i="1"/>
  <c r="AB115" i="1"/>
  <c r="AB120" i="1"/>
  <c r="AB163" i="1"/>
  <c r="AB119" i="1"/>
  <c r="AB204" i="1"/>
  <c r="S179" i="1"/>
  <c r="T179" i="1" s="1"/>
  <c r="S189" i="1"/>
  <c r="AB30" i="1"/>
  <c r="AB165" i="1"/>
  <c r="AB170" i="1"/>
  <c r="AB194" i="1"/>
  <c r="AB77" i="1"/>
  <c r="AB128" i="1"/>
  <c r="AB111" i="1"/>
  <c r="AB93" i="1"/>
  <c r="AB134" i="1"/>
  <c r="AB55" i="1"/>
  <c r="AB74" i="1"/>
  <c r="AB125" i="1"/>
  <c r="AB172" i="1"/>
  <c r="AB33" i="1"/>
  <c r="AB19" i="1"/>
  <c r="AB61" i="1"/>
  <c r="AB35" i="1"/>
  <c r="AE197" i="1"/>
  <c r="AB94" i="1"/>
  <c r="AB179" i="1"/>
  <c r="AB189" i="1"/>
  <c r="AB164" i="1"/>
  <c r="AB88" i="1"/>
  <c r="V210" i="1"/>
  <c r="J212" i="1"/>
  <c r="J214" i="1" s="1"/>
  <c r="J215" i="1" s="1"/>
  <c r="S177" i="1"/>
  <c r="T177" i="1" s="1"/>
  <c r="AE177" i="1" s="1"/>
  <c r="S190" i="1"/>
  <c r="T190" i="1" s="1"/>
  <c r="AB190" i="1"/>
  <c r="AB153" i="1"/>
  <c r="AB107" i="1"/>
  <c r="AB29" i="1"/>
  <c r="AB85" i="1"/>
  <c r="AB118" i="1"/>
  <c r="AB140" i="1"/>
  <c r="AE181" i="1"/>
  <c r="U210" i="1"/>
  <c r="S180" i="1"/>
  <c r="AB42" i="1"/>
  <c r="AB108" i="1"/>
  <c r="AB81" i="1"/>
  <c r="S178" i="1"/>
  <c r="T178" i="1" s="1"/>
  <c r="AE178" i="1" s="1"/>
  <c r="AB141" i="1"/>
  <c r="AB91" i="1"/>
  <c r="AB20" i="1"/>
  <c r="AB143" i="1"/>
  <c r="AB123" i="1"/>
  <c r="AB34" i="1"/>
  <c r="AB175" i="1"/>
  <c r="AB51" i="1"/>
  <c r="AB65" i="1"/>
  <c r="AB188" i="1"/>
  <c r="AB133" i="1"/>
  <c r="AB58" i="1"/>
  <c r="AB160" i="1"/>
  <c r="S185" i="1"/>
  <c r="T185" i="1" s="1"/>
  <c r="AE185" i="1" s="1"/>
  <c r="AB157" i="1"/>
  <c r="AB154" i="1"/>
  <c r="AB31" i="1"/>
  <c r="AB46" i="1"/>
  <c r="AB182" i="1"/>
  <c r="AA105" i="1"/>
  <c r="G212" i="1"/>
  <c r="G214" i="1" s="1"/>
  <c r="G215" i="1" s="1"/>
  <c r="I210" i="1"/>
  <c r="F214" i="1"/>
  <c r="AA34" i="1"/>
  <c r="AA58" i="1"/>
  <c r="AA80" i="1"/>
  <c r="AA97" i="1"/>
  <c r="AA110" i="1"/>
  <c r="AA128" i="1"/>
  <c r="AA145" i="1"/>
  <c r="AA167" i="1"/>
  <c r="AA184" i="1"/>
  <c r="AA197" i="1"/>
  <c r="AA24" i="1"/>
  <c r="AA48" i="1"/>
  <c r="AA68" i="1"/>
  <c r="AA85" i="1"/>
  <c r="AA103" i="1"/>
  <c r="AA111" i="1"/>
  <c r="AA129" i="1"/>
  <c r="AA142" i="1"/>
  <c r="AA151" i="1"/>
  <c r="AA159" i="1"/>
  <c r="AA168" i="1"/>
  <c r="AA177" i="1"/>
  <c r="AA185" i="1"/>
  <c r="AA190" i="1"/>
  <c r="AA199" i="1"/>
  <c r="AA207" i="1"/>
  <c r="AA25" i="1"/>
  <c r="AA36" i="1"/>
  <c r="AA49" i="1"/>
  <c r="AA60" i="1"/>
  <c r="AA69" i="1"/>
  <c r="AA77" i="1"/>
  <c r="AA86" i="1"/>
  <c r="AA95" i="1"/>
  <c r="AA104" i="1"/>
  <c r="AA112" i="1"/>
  <c r="AA121" i="1"/>
  <c r="AA130" i="1"/>
  <c r="AA139" i="1"/>
  <c r="AA147" i="1"/>
  <c r="AA156" i="1"/>
  <c r="AA165" i="1"/>
  <c r="AA173" i="1"/>
  <c r="AA187" i="1"/>
  <c r="AA195" i="1"/>
  <c r="AA204" i="1"/>
  <c r="AA29" i="1"/>
  <c r="AA52" i="1"/>
  <c r="AA67" i="1"/>
  <c r="AA84" i="1"/>
  <c r="AA101" i="1"/>
  <c r="AA123" i="1"/>
  <c r="AA141" i="1"/>
  <c r="AA154" i="1"/>
  <c r="AA171" i="1"/>
  <c r="AA189" i="1"/>
  <c r="AA19" i="1"/>
  <c r="AA41" i="1"/>
  <c r="AA63" i="1"/>
  <c r="AA81" i="1"/>
  <c r="AA98" i="1"/>
  <c r="AA116" i="1"/>
  <c r="AA22" i="1"/>
  <c r="AA33" i="1"/>
  <c r="AA43" i="1"/>
  <c r="AA57" i="1"/>
  <c r="AA61" i="1"/>
  <c r="AA74" i="1"/>
  <c r="AA83" i="1"/>
  <c r="AA92" i="1"/>
  <c r="AA96" i="1"/>
  <c r="AA113" i="1"/>
  <c r="AA122" i="1"/>
  <c r="AA131" i="1"/>
  <c r="AA140" i="1"/>
  <c r="AA148" i="1"/>
  <c r="AA157" i="1"/>
  <c r="AA170" i="1"/>
  <c r="AA175" i="1"/>
  <c r="AA183" i="1"/>
  <c r="AA192" i="1"/>
  <c r="AA205" i="1"/>
  <c r="AA209" i="1"/>
  <c r="AC23" i="1"/>
  <c r="AA46" i="1"/>
  <c r="AA71" i="1"/>
  <c r="AA88" i="1"/>
  <c r="AA106" i="1"/>
  <c r="AA119" i="1"/>
  <c r="AA136" i="1"/>
  <c r="AA158" i="1"/>
  <c r="AA176" i="1"/>
  <c r="AA193" i="1"/>
  <c r="AA202" i="1"/>
  <c r="AA35" i="1"/>
  <c r="AA59" i="1"/>
  <c r="AA76" i="1"/>
  <c r="AA94" i="1"/>
  <c r="AA120" i="1"/>
  <c r="AA133" i="1"/>
  <c r="AA137" i="1"/>
  <c r="AA146" i="1"/>
  <c r="AA155" i="1"/>
  <c r="AA164" i="1"/>
  <c r="AA172" i="1"/>
  <c r="AA181" i="1"/>
  <c r="AA194" i="1"/>
  <c r="AA203" i="1"/>
  <c r="AA20" i="1"/>
  <c r="AA31" i="1"/>
  <c r="AA42" i="1"/>
  <c r="AA56" i="1"/>
  <c r="AA64" i="1"/>
  <c r="AA73" i="1"/>
  <c r="AA82" i="1"/>
  <c r="AA91" i="1"/>
  <c r="AA99" i="1"/>
  <c r="AA108" i="1"/>
  <c r="AA117" i="1"/>
  <c r="AA125" i="1"/>
  <c r="AA134" i="1"/>
  <c r="AA143" i="1"/>
  <c r="AA152" i="1"/>
  <c r="AA160" i="1"/>
  <c r="AA169" i="1"/>
  <c r="AA178" i="1"/>
  <c r="AA182" i="1"/>
  <c r="AA191" i="1"/>
  <c r="AA200" i="1"/>
  <c r="AA208" i="1"/>
  <c r="AA39" i="1"/>
  <c r="AA62" i="1"/>
  <c r="AA75" i="1"/>
  <c r="AA93" i="1"/>
  <c r="AA115" i="1"/>
  <c r="AA132" i="1"/>
  <c r="AA149" i="1"/>
  <c r="AA163" i="1"/>
  <c r="AA180" i="1"/>
  <c r="AA206" i="1"/>
  <c r="AA30" i="1"/>
  <c r="AA55" i="1"/>
  <c r="AA72" i="1"/>
  <c r="AA89" i="1"/>
  <c r="AA107" i="1"/>
  <c r="AA124" i="1"/>
  <c r="AA27" i="1"/>
  <c r="AA37" i="1"/>
  <c r="AA51" i="1"/>
  <c r="AA65" i="1"/>
  <c r="AA70" i="1"/>
  <c r="AA79" i="1"/>
  <c r="AA87" i="1"/>
  <c r="AA100" i="1"/>
  <c r="AA109" i="1"/>
  <c r="AA118" i="1"/>
  <c r="AA127" i="1"/>
  <c r="AA135" i="1"/>
  <c r="AA144" i="1"/>
  <c r="AA153" i="1"/>
  <c r="AA161" i="1"/>
  <c r="AA166" i="1"/>
  <c r="AA179" i="1"/>
  <c r="AA188" i="1"/>
  <c r="AA196" i="1"/>
  <c r="AA201" i="1"/>
  <c r="AA16" i="1"/>
  <c r="R211" i="1" l="1"/>
  <c r="T39" i="1"/>
  <c r="AE39" i="1" s="1"/>
  <c r="L39" i="1"/>
  <c r="L210" i="1" s="1"/>
  <c r="L214" i="1" s="1"/>
  <c r="L215" i="1" s="1"/>
  <c r="S211" i="1"/>
  <c r="R210" i="1"/>
  <c r="AB16" i="1"/>
  <c r="AB210" i="1" s="1"/>
  <c r="T211" i="1"/>
  <c r="AC20" i="1"/>
  <c r="AD20" i="1"/>
  <c r="AC19" i="1"/>
  <c r="AD19" i="1"/>
  <c r="S210" i="1"/>
  <c r="T189" i="1"/>
  <c r="AE189" i="1" s="1"/>
  <c r="AC16" i="1"/>
  <c r="AA210" i="1"/>
  <c r="AD210" i="1" s="1"/>
  <c r="AD16" i="1"/>
  <c r="AC27" i="1"/>
  <c r="AD27" i="1"/>
  <c r="AC22" i="1"/>
  <c r="AD22" i="1"/>
  <c r="AC24" i="1"/>
  <c r="AD24" i="1"/>
  <c r="T180" i="1"/>
  <c r="AE180" i="1" s="1"/>
  <c r="AE190" i="1"/>
  <c r="AE179" i="1"/>
  <c r="AC196" i="1"/>
  <c r="AD196" i="1"/>
  <c r="AC161" i="1"/>
  <c r="AD161" i="1"/>
  <c r="AC127" i="1"/>
  <c r="AD127" i="1"/>
  <c r="AC87" i="1"/>
  <c r="AD87" i="1"/>
  <c r="AC51" i="1"/>
  <c r="AD51" i="1"/>
  <c r="AC107" i="1"/>
  <c r="AD107" i="1"/>
  <c r="AC30" i="1"/>
  <c r="AD30" i="1"/>
  <c r="AC149" i="1"/>
  <c r="AD149" i="1"/>
  <c r="AC75" i="1"/>
  <c r="AD75" i="1"/>
  <c r="AC200" i="1"/>
  <c r="AD200" i="1"/>
  <c r="AC169" i="1"/>
  <c r="AD169" i="1"/>
  <c r="AC134" i="1"/>
  <c r="AD134" i="1"/>
  <c r="AC99" i="1"/>
  <c r="AD99" i="1"/>
  <c r="AC64" i="1"/>
  <c r="AD64" i="1"/>
  <c r="AC172" i="1"/>
  <c r="AD172" i="1"/>
  <c r="AC137" i="1"/>
  <c r="AD137" i="1"/>
  <c r="AC76" i="1"/>
  <c r="AD76" i="1"/>
  <c r="AC193" i="1"/>
  <c r="AD193" i="1"/>
  <c r="AC119" i="1"/>
  <c r="AD119" i="1"/>
  <c r="AC46" i="1"/>
  <c r="AD46" i="1"/>
  <c r="AC192" i="1"/>
  <c r="AD192" i="1"/>
  <c r="AC157" i="1"/>
  <c r="AD157" i="1"/>
  <c r="AC122" i="1"/>
  <c r="AD122" i="1"/>
  <c r="AC83" i="1"/>
  <c r="AD83" i="1"/>
  <c r="AC43" i="1"/>
  <c r="AD43" i="1"/>
  <c r="AC98" i="1"/>
  <c r="AD98" i="1"/>
  <c r="AC141" i="1"/>
  <c r="AD141" i="1"/>
  <c r="AC67" i="1"/>
  <c r="AD67" i="1"/>
  <c r="AC195" i="1"/>
  <c r="AD195" i="1"/>
  <c r="AC156" i="1"/>
  <c r="AD156" i="1"/>
  <c r="AC121" i="1"/>
  <c r="AD121" i="1"/>
  <c r="AC86" i="1"/>
  <c r="AD86" i="1"/>
  <c r="AC49" i="1"/>
  <c r="AD49" i="1"/>
  <c r="AC199" i="1"/>
  <c r="AD199" i="1"/>
  <c r="AC168" i="1"/>
  <c r="AD168" i="1"/>
  <c r="AC129" i="1"/>
  <c r="AD129" i="1"/>
  <c r="AC188" i="1"/>
  <c r="AD188" i="1"/>
  <c r="AC153" i="1"/>
  <c r="AD153" i="1"/>
  <c r="AC118" i="1"/>
  <c r="AD118" i="1"/>
  <c r="AC79" i="1"/>
  <c r="AD79" i="1"/>
  <c r="AC89" i="1"/>
  <c r="AD89" i="1"/>
  <c r="AC206" i="1"/>
  <c r="AD206" i="1"/>
  <c r="AC132" i="1"/>
  <c r="AD132" i="1"/>
  <c r="AC62" i="1"/>
  <c r="AD62" i="1"/>
  <c r="AC191" i="1"/>
  <c r="AD191" i="1"/>
  <c r="AC160" i="1"/>
  <c r="AD160" i="1"/>
  <c r="AC125" i="1"/>
  <c r="AD125" i="1"/>
  <c r="AC91" i="1"/>
  <c r="AD91" i="1"/>
  <c r="AC56" i="1"/>
  <c r="AD56" i="1"/>
  <c r="AC203" i="1"/>
  <c r="AD203" i="1"/>
  <c r="AC164" i="1"/>
  <c r="AD164" i="1"/>
  <c r="AC133" i="1"/>
  <c r="AD133" i="1"/>
  <c r="AC59" i="1"/>
  <c r="AD59" i="1"/>
  <c r="AC176" i="1"/>
  <c r="AD176" i="1"/>
  <c r="AC106" i="1"/>
  <c r="AD106" i="1"/>
  <c r="AC183" i="1"/>
  <c r="AD183" i="1"/>
  <c r="AC148" i="1"/>
  <c r="AD148" i="1"/>
  <c r="AC113" i="1"/>
  <c r="AD113" i="1"/>
  <c r="AC74" i="1"/>
  <c r="AD74" i="1"/>
  <c r="AC81" i="1"/>
  <c r="AD81" i="1"/>
  <c r="AC189" i="1"/>
  <c r="AD189" i="1"/>
  <c r="AC123" i="1"/>
  <c r="AD123" i="1"/>
  <c r="AC52" i="1"/>
  <c r="AD52" i="1"/>
  <c r="AC187" i="1"/>
  <c r="AD187" i="1"/>
  <c r="AC147" i="1"/>
  <c r="AD147" i="1"/>
  <c r="AC112" i="1"/>
  <c r="AD112" i="1"/>
  <c r="AC77" i="1"/>
  <c r="AD77" i="1"/>
  <c r="AC36" i="1"/>
  <c r="AD36" i="1"/>
  <c r="AC190" i="1"/>
  <c r="AD190" i="1"/>
  <c r="AC159" i="1"/>
  <c r="AD159" i="1"/>
  <c r="AC111" i="1"/>
  <c r="AD111" i="1"/>
  <c r="AC48" i="1"/>
  <c r="AD48" i="1"/>
  <c r="AC167" i="1"/>
  <c r="AD167" i="1"/>
  <c r="AC97" i="1"/>
  <c r="AD97" i="1"/>
  <c r="AC179" i="1"/>
  <c r="AD179" i="1"/>
  <c r="AC144" i="1"/>
  <c r="AD144" i="1"/>
  <c r="AC109" i="1"/>
  <c r="AD109" i="1"/>
  <c r="AC70" i="1"/>
  <c r="AD70" i="1"/>
  <c r="AC72" i="1"/>
  <c r="AD72" i="1"/>
  <c r="AC180" i="1"/>
  <c r="AD180" i="1"/>
  <c r="AC115" i="1"/>
  <c r="AD115" i="1"/>
  <c r="AC39" i="1"/>
  <c r="AD39" i="1"/>
  <c r="AC182" i="1"/>
  <c r="AD182" i="1"/>
  <c r="AC152" i="1"/>
  <c r="AD152" i="1"/>
  <c r="AC117" i="1"/>
  <c r="AD117" i="1"/>
  <c r="AC82" i="1"/>
  <c r="AD82" i="1"/>
  <c r="AC42" i="1"/>
  <c r="AD42" i="1"/>
  <c r="AC194" i="1"/>
  <c r="AD194" i="1"/>
  <c r="AC155" i="1"/>
  <c r="AD155" i="1"/>
  <c r="AC120" i="1"/>
  <c r="AD120" i="1"/>
  <c r="AC158" i="1"/>
  <c r="AD158" i="1"/>
  <c r="AC88" i="1"/>
  <c r="AD88" i="1"/>
  <c r="AC209" i="1"/>
  <c r="AD209" i="1"/>
  <c r="AC175" i="1"/>
  <c r="AD175" i="1"/>
  <c r="AC140" i="1"/>
  <c r="AD140" i="1"/>
  <c r="AC96" i="1"/>
  <c r="AD96" i="1"/>
  <c r="AC61" i="1"/>
  <c r="AD61" i="1"/>
  <c r="AC63" i="1"/>
  <c r="AD63" i="1"/>
  <c r="AC171" i="1"/>
  <c r="AD171" i="1"/>
  <c r="AC101" i="1"/>
  <c r="AD101" i="1"/>
  <c r="AC29" i="1"/>
  <c r="AD29" i="1"/>
  <c r="AC173" i="1"/>
  <c r="AD173" i="1"/>
  <c r="AC139" i="1"/>
  <c r="AD139" i="1"/>
  <c r="AC104" i="1"/>
  <c r="AD104" i="1"/>
  <c r="AC69" i="1"/>
  <c r="AD69" i="1"/>
  <c r="AC185" i="1"/>
  <c r="AD185" i="1"/>
  <c r="AC151" i="1"/>
  <c r="AD151" i="1"/>
  <c r="AC103" i="1"/>
  <c r="AD103" i="1"/>
  <c r="AC145" i="1"/>
  <c r="AD145" i="1"/>
  <c r="AC80" i="1"/>
  <c r="AD80" i="1"/>
  <c r="AC201" i="1"/>
  <c r="AD201" i="1"/>
  <c r="AC166" i="1"/>
  <c r="AD166" i="1"/>
  <c r="AC135" i="1"/>
  <c r="AD135" i="1"/>
  <c r="AC100" i="1"/>
  <c r="AD100" i="1"/>
  <c r="AC65" i="1"/>
  <c r="AD65" i="1"/>
  <c r="AC124" i="1"/>
  <c r="AD124" i="1"/>
  <c r="AC55" i="1"/>
  <c r="AD55" i="1"/>
  <c r="AC163" i="1"/>
  <c r="AD163" i="1"/>
  <c r="AC93" i="1"/>
  <c r="AD93" i="1"/>
  <c r="AC208" i="1"/>
  <c r="AD208" i="1"/>
  <c r="AC178" i="1"/>
  <c r="AD178" i="1"/>
  <c r="AC143" i="1"/>
  <c r="AD143" i="1"/>
  <c r="AC108" i="1"/>
  <c r="AD108" i="1"/>
  <c r="AC73" i="1"/>
  <c r="AD73" i="1"/>
  <c r="AC181" i="1"/>
  <c r="AD181" i="1"/>
  <c r="AC146" i="1"/>
  <c r="AD146" i="1"/>
  <c r="AC94" i="1"/>
  <c r="AD94" i="1"/>
  <c r="AC202" i="1"/>
  <c r="AD202" i="1"/>
  <c r="AC136" i="1"/>
  <c r="AD136" i="1"/>
  <c r="AC71" i="1"/>
  <c r="AD71" i="1"/>
  <c r="AC205" i="1"/>
  <c r="AD205" i="1"/>
  <c r="AC170" i="1"/>
  <c r="AD170" i="1"/>
  <c r="AC131" i="1"/>
  <c r="AD131" i="1"/>
  <c r="AC92" i="1"/>
  <c r="AD92" i="1"/>
  <c r="AC57" i="1"/>
  <c r="AD57" i="1"/>
  <c r="AC116" i="1"/>
  <c r="AD116" i="1"/>
  <c r="AC41" i="1"/>
  <c r="AD41" i="1"/>
  <c r="AC154" i="1"/>
  <c r="AD154" i="1"/>
  <c r="AC84" i="1"/>
  <c r="AD84" i="1"/>
  <c r="AC204" i="1"/>
  <c r="AD204" i="1"/>
  <c r="AC165" i="1"/>
  <c r="AD165" i="1"/>
  <c r="AC130" i="1"/>
  <c r="AD130" i="1"/>
  <c r="AC95" i="1"/>
  <c r="AD95" i="1"/>
  <c r="AC60" i="1"/>
  <c r="AD60" i="1"/>
  <c r="AC207" i="1"/>
  <c r="AD207" i="1"/>
  <c r="AC177" i="1"/>
  <c r="AD177" i="1"/>
  <c r="AC142" i="1"/>
  <c r="AD142" i="1"/>
  <c r="AC85" i="1"/>
  <c r="AD85" i="1"/>
  <c r="AC197" i="1"/>
  <c r="AD197" i="1"/>
  <c r="AC128" i="1"/>
  <c r="AD128" i="1"/>
  <c r="AC58" i="1"/>
  <c r="AD58" i="1"/>
  <c r="AC105" i="1"/>
  <c r="AD105" i="1"/>
  <c r="AC68" i="1"/>
  <c r="AD68" i="1"/>
  <c r="AC184" i="1"/>
  <c r="AD184" i="1"/>
  <c r="AC110" i="1"/>
  <c r="AD110" i="1"/>
  <c r="AC34" i="1"/>
  <c r="AD34" i="1"/>
  <c r="AC37" i="1"/>
  <c r="AD37" i="1"/>
  <c r="AC35" i="1"/>
  <c r="AD35" i="1"/>
  <c r="AC33" i="1"/>
  <c r="AD33" i="1"/>
  <c r="AC31" i="1"/>
  <c r="AD31" i="1"/>
  <c r="AC25" i="1"/>
  <c r="AD25" i="1"/>
  <c r="M214" i="1"/>
  <c r="M215" i="1" s="1"/>
  <c r="I212" i="1"/>
  <c r="N214" i="1"/>
  <c r="N215" i="1" s="1"/>
  <c r="F215" i="1"/>
  <c r="U211" i="1"/>
  <c r="U212" i="1" s="1"/>
  <c r="AE211" i="1" l="1"/>
  <c r="AF211" i="1"/>
  <c r="K212" i="1"/>
  <c r="T212" i="1" s="1"/>
  <c r="S212" i="1"/>
  <c r="S214" i="1" s="1"/>
  <c r="S215" i="1" s="1"/>
  <c r="I214" i="1"/>
  <c r="I215" i="1" s="1"/>
  <c r="T210" i="1"/>
  <c r="V214" i="1"/>
  <c r="V215" i="1" s="1"/>
  <c r="U214" i="1"/>
  <c r="U215" i="1" s="1"/>
  <c r="AA212" i="1"/>
  <c r="AD212" i="1" s="1"/>
  <c r="AA211" i="1"/>
  <c r="K214" i="1" l="1"/>
  <c r="K215" i="1" s="1"/>
  <c r="R212" i="1"/>
  <c r="R214" i="1" s="1"/>
  <c r="R215" i="1" s="1"/>
  <c r="AB212" i="1"/>
  <c r="AB214" i="1" s="1"/>
  <c r="AB215" i="1" s="1"/>
  <c r="Q212" i="1"/>
  <c r="Q214" i="1" s="1"/>
  <c r="Q215" i="1" s="1"/>
  <c r="T214" i="1"/>
  <c r="T215" i="1" s="1"/>
  <c r="AA214" i="1"/>
  <c r="AA215" i="1" s="1"/>
  <c r="AD211" i="1"/>
  <c r="AG212" i="1" l="1"/>
  <c r="AF212" i="1"/>
  <c r="AE212" i="1"/>
</calcChain>
</file>

<file path=xl/sharedStrings.xml><?xml version="1.0" encoding="utf-8"?>
<sst xmlns="http://schemas.openxmlformats.org/spreadsheetml/2006/main" count="735" uniqueCount="345">
  <si>
    <t>Приложение 1.4.1</t>
  </si>
  <si>
    <t>Приложение 4.1 к Заявке</t>
  </si>
  <si>
    <t>от «____»_____________ г. №__________</t>
  </si>
  <si>
    <t>№№</t>
  </si>
  <si>
    <t>Наименование работ</t>
  </si>
  <si>
    <t>п.п.</t>
  </si>
  <si>
    <t>Всего Авансы</t>
  </si>
  <si>
    <t xml:space="preserve">ВСЕГО (без  НДС): </t>
  </si>
  <si>
    <t xml:space="preserve">ВСЕГО (с учетом НДС): </t>
  </si>
  <si>
    <t>месяц/год</t>
  </si>
  <si>
    <t>1.1.</t>
  </si>
  <si>
    <t>2.1.</t>
  </si>
  <si>
    <t>2.2.</t>
  </si>
  <si>
    <t>2.3.</t>
  </si>
  <si>
    <t>3.1.</t>
  </si>
  <si>
    <t>3.2.</t>
  </si>
  <si>
    <t>3.3.</t>
  </si>
  <si>
    <t>4.1.</t>
  </si>
  <si>
    <t>4.2.</t>
  </si>
  <si>
    <t>4.3.</t>
  </si>
  <si>
    <t>4.3.1.</t>
  </si>
  <si>
    <t>4.3.2.</t>
  </si>
  <si>
    <t>Всего:</t>
  </si>
  <si>
    <t>4.3.3.</t>
  </si>
  <si>
    <t>4.4.4.</t>
  </si>
  <si>
    <t>Аванс 2                      месяц/год</t>
  </si>
  <si>
    <t>ЗАКАЗЧИК</t>
  </si>
  <si>
    <t>Генеральный директор</t>
  </si>
  <si>
    <t>ПОДРЯДЧИК</t>
  </si>
  <si>
    <t>Сводная таблица и график финансирования стоимости выполнения работ и услуг</t>
  </si>
  <si>
    <t>Сроки выполнения работ</t>
  </si>
  <si>
    <t>Возврат гарантийного удержания, руб.</t>
  </si>
  <si>
    <t>Авансовые платежи, руб.</t>
  </si>
  <si>
    <t xml:space="preserve">Гарантийное удержание  (100% от соответствующего вида Работ, Услуг), руб. </t>
  </si>
  <si>
    <t>Выполнение по актам за 2013 г., руб.</t>
  </si>
  <si>
    <t>К оплате по актам за 2013 г., руб.</t>
  </si>
  <si>
    <t xml:space="preserve">Разработка рабочей документации </t>
  </si>
  <si>
    <t>2</t>
  </si>
  <si>
    <t>Земляные работы</t>
  </si>
  <si>
    <t>Устройство насыпи (1 этап, стадия 1)</t>
  </si>
  <si>
    <t>2.1.1.</t>
  </si>
  <si>
    <t>Устройство дорожных насыпей бульдозерами   (до отметки 190) с перемещением грунта до 20 м из привозного песчаного грунта</t>
  </si>
  <si>
    <t>2.1.2.</t>
  </si>
  <si>
    <t>Уплотнение грунта прицепными кулачковыми катками 8 т на первый проход по одному следу при толщине слоя 20 см 
(за 8 проходок)</t>
  </si>
  <si>
    <t>Устройство выемки (1 этап, стадия 2)</t>
  </si>
  <si>
    <t>2.2.1.</t>
  </si>
  <si>
    <t>Разработка грунта с погрузкой на автомобили-самосвалы экскаваторами с ковшом вместимостью 1 (1-1,2) м3, группа грунтов 2</t>
  </si>
  <si>
    <t>2.2.2.</t>
  </si>
  <si>
    <t>Доработка грунта вручную в траншеях глубиной до 2 м без креплений с откосами, группа грунтов 2</t>
  </si>
  <si>
    <t>2.2.3.</t>
  </si>
  <si>
    <t>Погрузка грунта с погрузкой на автомобили-самосвалы экскаваторами с ковшом вместимостью 1 (1-1,2) м3, группа грунтов 2</t>
  </si>
  <si>
    <t>2.2.4.</t>
  </si>
  <si>
    <t>Вывоз грунта от выемки на площадку временного хранения автомобилями-самосвалами грузоподъемностью 10 т работающих вне карьера: расстояние перевозки до 1 км; нормативное время пробега 0,263 час; класс груза 1</t>
  </si>
  <si>
    <t>Устройство технологического щебеночного слоя толщиной 1 м перед забивкой свай</t>
  </si>
  <si>
    <t>2.3.1</t>
  </si>
  <si>
    <t xml:space="preserve">Устройство подстилающих и выравнивающих слоев оснований из щебня </t>
  </si>
  <si>
    <t>2.4.</t>
  </si>
  <si>
    <t>Разборка технологического щебеночного слоя толщиной 1 м после забивки свай</t>
  </si>
  <si>
    <t>2.4.1.</t>
  </si>
  <si>
    <t>Разборка оснований щебеночных</t>
  </si>
  <si>
    <t>2.4.2.</t>
  </si>
  <si>
    <t>Погрузка щебня на автомобили-самосвалы экскаваторами с ковшом вместимостью: 1 (1-1,2) м3, группа грунтов 2</t>
  </si>
  <si>
    <t>2.4.3.</t>
  </si>
  <si>
    <t>Вывоз щебня на площадку временного хранения автомобилями-самосвалами грузоподъемностью 10 т работающих вне карьера: расстояние перевозки до 1 км; нормативное время пробега 0,263 час; класс груза 1</t>
  </si>
  <si>
    <t>2.5.</t>
  </si>
  <si>
    <t>Обратная засыпка котлована после устройства фундаментов (1 Этап)</t>
  </si>
  <si>
    <t>2.5.1.</t>
  </si>
  <si>
    <t>Погрузка грунта для обратной засыпки на автомобили-самосвалы экскаваторами с ковшом вместимостью: 1 (1-1,2) м3, группа грунтов 2</t>
  </si>
  <si>
    <t>2.5.2.</t>
  </si>
  <si>
    <t>Привоз грунта с площадки временного хранения автомобилями-самосвалами грузоподъемностью 10 т работающих вне карьера: расстояние перевозки до 1 км; нормативное время пробега 0,263 час; класс груза 1</t>
  </si>
  <si>
    <t>2.5.3.</t>
  </si>
  <si>
    <t>Засыпка траншей и котлованов с перемещением грунта до 20 м бульдозерами мощностью 79 кВт (108 л.с.), группа грунтов 2</t>
  </si>
  <si>
    <t>2.5.4.</t>
  </si>
  <si>
    <t>Уплотнение грунта прицепными кулачковыми катками 8 т на первый проход по одному следу при толщине слоя 20 см
(за 8 проходок)</t>
  </si>
  <si>
    <t>2.5.5.</t>
  </si>
  <si>
    <t>Уплотнение грунта пневматическими трамбовками, группа грунтов 1-2</t>
  </si>
  <si>
    <t>2.6.</t>
  </si>
  <si>
    <t>Водоотлив Этап 1</t>
  </si>
  <si>
    <t>2.6.1.</t>
  </si>
  <si>
    <t>Водоотлив из котлованов</t>
  </si>
  <si>
    <t>2.7.</t>
  </si>
  <si>
    <t>Окончательная планировка после устройства фундаментов и обратной засыпки котлована, вывоз излишков грунта на полигон.</t>
  </si>
  <si>
    <t>2.7.1.</t>
  </si>
  <si>
    <t>Окончательная планировка площадей механизированным способом, группа грунтов: 2</t>
  </si>
  <si>
    <t>2.7.2.</t>
  </si>
  <si>
    <t>Погрузка излишков грунта на автомобили-самосвалы экскаваторами с ковшом вместимостью: 1 (1-1,2) м3, группа грунтов 2</t>
  </si>
  <si>
    <t>2.7.3.</t>
  </si>
  <si>
    <t>Перевозка грузов автомобилями-самосвалами грузоподъемностью 10 т работающих вне карьера: расстояние перевозки 40 км; нормативное время пробега 2,329 час; класс груза 1</t>
  </si>
  <si>
    <t>3</t>
  </si>
  <si>
    <t>Устройство свайного основания</t>
  </si>
  <si>
    <t xml:space="preserve">Испытание свай </t>
  </si>
  <si>
    <t>3.1.1</t>
  </si>
  <si>
    <t>1. Сваи составные длиной 24 м, сечение 350х350 мм, 2276 шт (Тип А, Б, В, Г, Д, Е, И, К, Л, М, Н, О, П )</t>
  </si>
  <si>
    <t>3.2.1</t>
  </si>
  <si>
    <t>Погружение одиночных составных железобетонных свай длиной 24 м в грунты группы 2 (марка бетона по прочности В60, по водонепроницаемости W8, по морозостойкости F8)</t>
  </si>
  <si>
    <t>3.2.2</t>
  </si>
  <si>
    <t>Вырубка бетона из арматурного каркаса железобетонных свай площадью сечения свыше 0,1 м2</t>
  </si>
  <si>
    <t>2. Сваи длиной 12 м, сечение 350х350 мм, 393 шт (Тип Р, ББ, АА, ББ, ВВ, ГГ)</t>
  </si>
  <si>
    <t>3.3.1</t>
  </si>
  <si>
    <t>Погружение дизель-молотом копровой установки на базе экскаватора железобетонных свай длиной до 12 м в грунты группы 2 (марка бетона по прочности В60, по водонепроницаемости W8, по морозостойкости F8)</t>
  </si>
  <si>
    <t>3.3.2</t>
  </si>
  <si>
    <t>4</t>
  </si>
  <si>
    <t>Устройство ростверков</t>
  </si>
  <si>
    <t>Ростверк  РС-1 (9 шт)</t>
  </si>
  <si>
    <t>4.1.1.</t>
  </si>
  <si>
    <t xml:space="preserve">Устройство основания под фундаменты песчаного (100мм) </t>
  </si>
  <si>
    <t>4.1.2.</t>
  </si>
  <si>
    <t>Устройство бетонной подготовки толщ.100мм (бетон класс В 15 (М200))</t>
  </si>
  <si>
    <t>4.1.3.</t>
  </si>
  <si>
    <t>Устройство прослойки из нетканого синтетического материала (НСМ)</t>
  </si>
  <si>
    <t>4.1.4.</t>
  </si>
  <si>
    <t>Гидроизоляция фундаментов боковая оклеечная в 1 слой (мембрана "Resitrix SK")</t>
  </si>
  <si>
    <t>4.1.5.</t>
  </si>
  <si>
    <t>4.1.6.</t>
  </si>
  <si>
    <t>Устройство пароизоляции из полиэтиленовой пленки в один слой</t>
  </si>
  <si>
    <t>4.1.7.</t>
  </si>
  <si>
    <t>Кладка прижимных стенок гидроизоляции в 1/2 кирпича на битумной мастике</t>
  </si>
  <si>
    <t>4.1.8.</t>
  </si>
  <si>
    <t>Гидроизоляция стен, фундаментов горизонтальная оклеечная в 1 слой (мембрана "Resitrix SK")</t>
  </si>
  <si>
    <t>4.1.9.</t>
  </si>
  <si>
    <t xml:space="preserve">Устройство прослойки из нетканого синтетического материала (НСМ) </t>
  </si>
  <si>
    <t>4.1.10.</t>
  </si>
  <si>
    <t>Устройство стяжек бетонных толщиной 50 мм с армированием</t>
  </si>
  <si>
    <t>4.1.11.</t>
  </si>
  <si>
    <t>Устройство /ростверков /фундаментных плит железобетонных плоских (бетон тяжелый марка по прочности В40, по водонепроницаемости W8, по морозостойкости F8)</t>
  </si>
  <si>
    <t>Ростверк  РС-2 (27 шт)</t>
  </si>
  <si>
    <t>4.2.1.</t>
  </si>
  <si>
    <t>4.2.2.</t>
  </si>
  <si>
    <t>4.2.3.</t>
  </si>
  <si>
    <t>4.2.4.</t>
  </si>
  <si>
    <t>4.2.5.</t>
  </si>
  <si>
    <t>4.2.6.</t>
  </si>
  <si>
    <t>4.2.7.</t>
  </si>
  <si>
    <t>4.2.8.</t>
  </si>
  <si>
    <t>4.2.9.</t>
  </si>
  <si>
    <t>4.2.10.</t>
  </si>
  <si>
    <t>4.2.11.</t>
  </si>
  <si>
    <t>Ростверк  РС-3 (30шт)</t>
  </si>
  <si>
    <t>4.3.4.</t>
  </si>
  <si>
    <t>4.3.5.</t>
  </si>
  <si>
    <t>4.3.6.</t>
  </si>
  <si>
    <t>4.3.7.</t>
  </si>
  <si>
    <t>4.3.8.</t>
  </si>
  <si>
    <t>4.3.9.</t>
  </si>
  <si>
    <t>4.3.10.</t>
  </si>
  <si>
    <t>4.3.11.</t>
  </si>
  <si>
    <t>4.4.</t>
  </si>
  <si>
    <t>Ростверк  РС-4 (8 шт)</t>
  </si>
  <si>
    <t>4.4.1.</t>
  </si>
  <si>
    <t>4.4.2.</t>
  </si>
  <si>
    <t>4.4.3.</t>
  </si>
  <si>
    <t>4.4.5.</t>
  </si>
  <si>
    <t>4.4.6.</t>
  </si>
  <si>
    <t>4.4.7.</t>
  </si>
  <si>
    <t>4.4.8.</t>
  </si>
  <si>
    <t>4.4.9.</t>
  </si>
  <si>
    <t>4.4.10.</t>
  </si>
  <si>
    <t>4.4.11.</t>
  </si>
  <si>
    <t>4.5.</t>
  </si>
  <si>
    <t>Ростверк  РС-5 (2шт)</t>
  </si>
  <si>
    <t>4.5.1.</t>
  </si>
  <si>
    <t>4.5.2.</t>
  </si>
  <si>
    <t>4.5.3.</t>
  </si>
  <si>
    <t>4.5.4.</t>
  </si>
  <si>
    <t>4.5.5.</t>
  </si>
  <si>
    <t>4.5.6.</t>
  </si>
  <si>
    <t>4.5.7.</t>
  </si>
  <si>
    <t>4.5.8.</t>
  </si>
  <si>
    <t>4.5.9.</t>
  </si>
  <si>
    <t>4.5.10.</t>
  </si>
  <si>
    <t>4.5.11.</t>
  </si>
  <si>
    <t>4.6.</t>
  </si>
  <si>
    <t>Ростверк  РС-6 (6шт)</t>
  </si>
  <si>
    <t>4.6.1.</t>
  </si>
  <si>
    <t>4.6.2.</t>
  </si>
  <si>
    <t>4.6.3.</t>
  </si>
  <si>
    <t>4.6.4.</t>
  </si>
  <si>
    <t>4.6.5.</t>
  </si>
  <si>
    <t>4.6.6.</t>
  </si>
  <si>
    <t>4.6.7.</t>
  </si>
  <si>
    <t>4.6.8.</t>
  </si>
  <si>
    <t>4.6.9.</t>
  </si>
  <si>
    <t>4.6.10.</t>
  </si>
  <si>
    <t>4.6.11.</t>
  </si>
  <si>
    <t>4.7.</t>
  </si>
  <si>
    <t>Ростверк  РС-7 (7 шт)</t>
  </si>
  <si>
    <t>4.7.1.</t>
  </si>
  <si>
    <t>4.7.2.</t>
  </si>
  <si>
    <t>4.7.3.</t>
  </si>
  <si>
    <t>4.7.4.</t>
  </si>
  <si>
    <t>4.7.5.</t>
  </si>
  <si>
    <t>4.7.6.</t>
  </si>
  <si>
    <t>4.7.7.</t>
  </si>
  <si>
    <t>4.7.8.</t>
  </si>
  <si>
    <t>4.7.9.</t>
  </si>
  <si>
    <t>4.7.10.</t>
  </si>
  <si>
    <t>4.7.11.</t>
  </si>
  <si>
    <t>4.8.</t>
  </si>
  <si>
    <t>Ростверк  РС-8 (21 шт)</t>
  </si>
  <si>
    <t>4.8.1.</t>
  </si>
  <si>
    <t>4.8.2.</t>
  </si>
  <si>
    <t>4.8.3.</t>
  </si>
  <si>
    <t>4.8.4.</t>
  </si>
  <si>
    <t>4.8.5.</t>
  </si>
  <si>
    <t>4.8.6.</t>
  </si>
  <si>
    <t>4.8.7.</t>
  </si>
  <si>
    <t>4.8.8.</t>
  </si>
  <si>
    <t>4.8.9.</t>
  </si>
  <si>
    <t>4.8.10.</t>
  </si>
  <si>
    <t>4.8.11.</t>
  </si>
  <si>
    <t>4.9.</t>
  </si>
  <si>
    <t>Ростверк  РС-9 (4 шт)</t>
  </si>
  <si>
    <t>4.9.1.</t>
  </si>
  <si>
    <t>4.9.2.</t>
  </si>
  <si>
    <t>4.9.3.</t>
  </si>
  <si>
    <t>4.9.4.</t>
  </si>
  <si>
    <t>4.9.5.</t>
  </si>
  <si>
    <t>4.9.6.</t>
  </si>
  <si>
    <t>4.9.7.</t>
  </si>
  <si>
    <t>4.9.8.</t>
  </si>
  <si>
    <t>4.9.9.</t>
  </si>
  <si>
    <t>4.9.10.</t>
  </si>
  <si>
    <t>4.9.11.</t>
  </si>
  <si>
    <t>4.10.</t>
  </si>
  <si>
    <t>Ростверк  РС-10 (2 шт)</t>
  </si>
  <si>
    <t>4.10.1.</t>
  </si>
  <si>
    <t>4.10.2.</t>
  </si>
  <si>
    <t>4.10.3.</t>
  </si>
  <si>
    <t>4.10.4.</t>
  </si>
  <si>
    <t>4.10.5.</t>
  </si>
  <si>
    <t>4.10.6.</t>
  </si>
  <si>
    <t>4.10.7.</t>
  </si>
  <si>
    <t>4.10.8.</t>
  </si>
  <si>
    <t>4.10.9.</t>
  </si>
  <si>
    <t>4.10.10.</t>
  </si>
  <si>
    <t>4.10.11.</t>
  </si>
  <si>
    <t>4.11.</t>
  </si>
  <si>
    <t xml:space="preserve">Ростверк в зоне ядра толщиной 1750 мм -8 шт </t>
  </si>
  <si>
    <t>4.11.1.</t>
  </si>
  <si>
    <t>Устройство основания под фундаменты песчаного (100мм)</t>
  </si>
  <si>
    <t>4.11.2.</t>
  </si>
  <si>
    <t>4.11.3.</t>
  </si>
  <si>
    <t>4.11.4.</t>
  </si>
  <si>
    <t>4.11.5.</t>
  </si>
  <si>
    <t>4.11.6.</t>
  </si>
  <si>
    <t>4.11.7.</t>
  </si>
  <si>
    <t>4.11.8.</t>
  </si>
  <si>
    <t>4.11.9.</t>
  </si>
  <si>
    <t>4.11.10.</t>
  </si>
  <si>
    <t>4.11.11.</t>
  </si>
  <si>
    <t>4.12.</t>
  </si>
  <si>
    <t>Балочный ростверк толщиной 1500 на отм. +190.41: +188,910</t>
  </si>
  <si>
    <t>4.12.1.</t>
  </si>
  <si>
    <t>4.12.2.</t>
  </si>
  <si>
    <t>4.12.3.</t>
  </si>
  <si>
    <t>4.12.4.</t>
  </si>
  <si>
    <t>4.12.5.</t>
  </si>
  <si>
    <t>4.12.6.</t>
  </si>
  <si>
    <t>4.12.7.</t>
  </si>
  <si>
    <t>4.12.8.</t>
  </si>
  <si>
    <t>4.12.9.</t>
  </si>
  <si>
    <t>4.12.10.</t>
  </si>
  <si>
    <t>4.12.11.</t>
  </si>
  <si>
    <t>Устройство ленточных фундаментов железобетонных  (балочный ростверк) при ширине по верху более 1000 мм (бетон тяжелый марка по прочности В40, по водонепроницаемости W8, по морозостойкости F8)</t>
  </si>
  <si>
    <t>4.13.</t>
  </si>
  <si>
    <t>Балочный ростверк толщиной 500 мм на отм. +190,410: +189.910</t>
  </si>
  <si>
    <t>4.13.1.</t>
  </si>
  <si>
    <t>4.13.2.</t>
  </si>
  <si>
    <t>4.13.3.</t>
  </si>
  <si>
    <t>4.13.4.</t>
  </si>
  <si>
    <t>4.13.5.</t>
  </si>
  <si>
    <t>4.13.6.</t>
  </si>
  <si>
    <t>4.13.7.</t>
  </si>
  <si>
    <t>4.13.8.</t>
  </si>
  <si>
    <t>4.13.9.</t>
  </si>
  <si>
    <t>4.13.10.</t>
  </si>
  <si>
    <t>4.13.11.</t>
  </si>
  <si>
    <t>Итого</t>
  </si>
  <si>
    <t xml:space="preserve">Затраты на временные здания и сооружения -0,8% от СМР </t>
  </si>
  <si>
    <t>Услуги эксперта</t>
  </si>
  <si>
    <t>5</t>
  </si>
  <si>
    <t>6</t>
  </si>
  <si>
    <t>7</t>
  </si>
  <si>
    <t>Стоимость Работ, Услуг, руб.</t>
  </si>
  <si>
    <t>Ед. изм.</t>
  </si>
  <si>
    <t>Цена за 
единицу, руб.</t>
  </si>
  <si>
    <t>Физ. объем</t>
  </si>
  <si>
    <t>комплекс</t>
  </si>
  <si>
    <t>м3</t>
  </si>
  <si>
    <t>тн</t>
  </si>
  <si>
    <t>м2</t>
  </si>
  <si>
    <t>1 м3 составных свай</t>
  </si>
  <si>
    <t>шт</t>
  </si>
  <si>
    <t>1 м3 свай</t>
  </si>
  <si>
    <t>100 м2</t>
  </si>
  <si>
    <t>Приложение № 1 к Договору № ________________________ от ______________________ 2013 г.</t>
  </si>
  <si>
    <t>Распределение Цены Договора и предполагаемый График финансирования Проекта</t>
  </si>
  <si>
    <t>08.2013</t>
  </si>
  <si>
    <t>Аванс 1                      (04.2013)</t>
  </si>
  <si>
    <t>05.2013</t>
  </si>
  <si>
    <t>07.2013</t>
  </si>
  <si>
    <t>06.2013</t>
  </si>
  <si>
    <t>начало (чч.мм.гг)</t>
  </si>
  <si>
    <t>окончание (чч.мм.гг)</t>
  </si>
  <si>
    <t>ЗАО "ВОДОКАНАЛСЕТЬ"</t>
  </si>
  <si>
    <t>Генеральный директор ______________________________ Якимишин В.Р.</t>
  </si>
  <si>
    <r>
      <t>Общество с ограниченной ответственностью «Объединенная дирекция по проектированию и строительству Центра разработки коммерциализации новых технологий (инновационного центра «Сколково»)»</t>
    </r>
    <r>
      <rPr>
        <sz val="14"/>
        <color indexed="8"/>
        <rFont val="Times New Roman"/>
        <family val="1"/>
        <charset val="204"/>
      </rPr>
      <t xml:space="preserve"> </t>
    </r>
  </si>
  <si>
    <t>Генеральный директор_____________________Лумельский А.М.</t>
  </si>
  <si>
    <t>Затраты на страхование строительных рисков 0,3% от СС</t>
  </si>
  <si>
    <t>08.2015</t>
  </si>
  <si>
    <t>Остаток к оплате по актам, руб.</t>
  </si>
  <si>
    <t>=20+21</t>
  </si>
  <si>
    <t>=6-8-9</t>
  </si>
  <si>
    <t>=7</t>
  </si>
  <si>
    <t>СМР</t>
  </si>
  <si>
    <t>РД</t>
  </si>
  <si>
    <t>Генеральный директор_____________________А. Лумельский</t>
  </si>
  <si>
    <t>Всего</t>
  </si>
  <si>
    <t>в том числе НДС 18%:</t>
  </si>
  <si>
    <t>Стоимость Работ, Услуг, руб. с НДС</t>
  </si>
  <si>
    <t>Авансовый платеж, руб. с НДС</t>
  </si>
  <si>
    <t>Гарантийное удержание  (100% от соответствующего вида Работ, Услуг), руб. с НДС</t>
  </si>
  <si>
    <t>Остаток к оплате по актам, руб. с НДС</t>
  </si>
  <si>
    <t>Выполнение по актам, руб. с НДС</t>
  </si>
  <si>
    <t>К оплате по актам, руб. с НДС</t>
  </si>
  <si>
    <t>1</t>
  </si>
  <si>
    <t>№№ п.п.</t>
  </si>
  <si>
    <t>График освоения и финансирования</t>
  </si>
  <si>
    <t>ООО «ОДПС «Сколково»</t>
  </si>
  <si>
    <t>Приложение № 5 к Договору № ____________  от ____._________  2014 г.</t>
  </si>
  <si>
    <t>(месяц) 2014 г.</t>
  </si>
  <si>
    <t>Наименование организации</t>
  </si>
  <si>
    <t>Генеральный директор_____________________Ф.И.О</t>
  </si>
  <si>
    <t>Гарантийное удержание  (10% от соответствующего вида Работ, Услуг), руб. с НДС</t>
  </si>
  <si>
    <t>Срок</t>
  </si>
  <si>
    <t>(месяц) 2016 г.</t>
  </si>
  <si>
    <t>От Заказчика:</t>
  </si>
  <si>
    <t>_____________________А. Лумельский</t>
  </si>
  <si>
    <t>Генеральный директор ООО "ОДПС "Сколково"</t>
  </si>
  <si>
    <t>Наименование должности</t>
  </si>
  <si>
    <t>____________________ Ф.И.О</t>
  </si>
  <si>
    <t>От Генерального подрядчика:</t>
  </si>
  <si>
    <t>Авансовые платежи, руб. с НДС</t>
  </si>
  <si>
    <t>Аванс 1</t>
  </si>
  <si>
    <t>Аванс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</si>
</sst>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dd/mm/yy;@"/>
    <numFmt numFmtId="165" formatCode="#,##0.000"/>
    <numFmt numFmtId="166" formatCode="#,##0.00_ ;[Red]\-#,##0.00\ "/>
    <numFmt numFmtId="167" formatCode="0.00_ ;[Red]\-0.00\ "/>
    <numFmt numFmtId="168" formatCode="0.0000000000000"/>
  </numFmts>
  <fonts count="1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43" fontId="15" fillId="0" borderId="0" applyFont="0" applyFill="0" applyBorder="0" applyAlignment="0" applyProtection="0"/>
  </cellStyleXfs>
  <cellXfs count="343">
    <xf numFmtId="0" fontId="0" fillId="0" borderId="0" xfId="0"/>
    <xf numFmtId="4" fontId="6" fillId="2" borderId="35" xfId="0" applyNumberFormat="1" applyFont="1" applyFill="1" applyBorder="1" applyAlignment="1">
      <alignment horizontal="right" vertical="center" wrapText="1"/>
    </xf>
    <xf numFmtId="4" fontId="6" fillId="2" borderId="36" xfId="0" applyNumberFormat="1" applyFont="1" applyFill="1" applyBorder="1" applyAlignment="1">
      <alignment horizontal="right" vertical="center" wrapText="1"/>
    </xf>
    <xf numFmtId="9" fontId="1" fillId="2" borderId="34" xfId="0" applyNumberFormat="1" applyFont="1" applyFill="1" applyBorder="1" applyAlignment="1">
      <alignment horizontal="center" vertical="center" wrapText="1"/>
    </xf>
    <xf numFmtId="4" fontId="1" fillId="2" borderId="34" xfId="0" applyNumberFormat="1" applyFont="1" applyFill="1" applyBorder="1" applyAlignment="1">
      <alignment horizontal="right" vertical="center" wrapText="1"/>
    </xf>
    <xf numFmtId="0" fontId="5" fillId="2" borderId="34" xfId="0" applyFont="1" applyFill="1" applyBorder="1" applyAlignment="1">
      <alignment horizontal="left" vertical="center" wrapText="1"/>
    </xf>
    <xf numFmtId="4" fontId="6" fillId="2" borderId="35" xfId="0" applyNumberFormat="1" applyFont="1" applyFill="1" applyBorder="1" applyAlignment="1">
      <alignment vertical="center"/>
    </xf>
    <xf numFmtId="4" fontId="6" fillId="2" borderId="36" xfId="0" applyNumberFormat="1" applyFont="1" applyFill="1" applyBorder="1" applyAlignment="1">
      <alignment vertical="center"/>
    </xf>
    <xf numFmtId="4" fontId="1" fillId="2" borderId="3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6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164" fontId="7" fillId="0" borderId="29" xfId="0" applyNumberFormat="1" applyFont="1" applyFill="1" applyBorder="1" applyAlignment="1">
      <alignment horizontal="center" vertical="center" wrapText="1"/>
    </xf>
    <xf numFmtId="164" fontId="7" fillId="0" borderId="31" xfId="0" applyNumberFormat="1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right" vertical="center" wrapText="1"/>
    </xf>
    <xf numFmtId="4" fontId="1" fillId="0" borderId="13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1" fillId="0" borderId="9" xfId="0" applyNumberFormat="1" applyFont="1" applyFill="1" applyBorder="1" applyAlignment="1">
      <alignment vertical="center"/>
    </xf>
    <xf numFmtId="4" fontId="1" fillId="0" borderId="10" xfId="0" applyNumberFormat="1" applyFont="1" applyFill="1" applyBorder="1" applyAlignment="1">
      <alignment vertical="center"/>
    </xf>
    <xf numFmtId="49" fontId="1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1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8" xfId="0" applyNumberFormat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49" fontId="1" fillId="2" borderId="34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horizontal="center" vertical="center"/>
    </xf>
    <xf numFmtId="49" fontId="1" fillId="3" borderId="34" xfId="0" applyNumberFormat="1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left" vertical="center" wrapText="1"/>
    </xf>
    <xf numFmtId="4" fontId="1" fillId="3" borderId="34" xfId="0" applyNumberFormat="1" applyFont="1" applyFill="1" applyBorder="1" applyAlignment="1">
      <alignment horizontal="center" vertical="center" wrapText="1"/>
    </xf>
    <xf numFmtId="4" fontId="1" fillId="3" borderId="34" xfId="0" applyNumberFormat="1" applyFont="1" applyFill="1" applyBorder="1" applyAlignment="1">
      <alignment horizontal="right" vertical="center" wrapText="1"/>
    </xf>
    <xf numFmtId="4" fontId="1" fillId="3" borderId="7" xfId="0" applyNumberFormat="1" applyFont="1" applyFill="1" applyBorder="1" applyAlignment="1">
      <alignment horizontal="right" vertical="center" wrapText="1"/>
    </xf>
    <xf numFmtId="4" fontId="1" fillId="3" borderId="36" xfId="0" applyNumberFormat="1" applyFont="1" applyFill="1" applyBorder="1" applyAlignment="1">
      <alignment horizontal="right" vertical="center" wrapText="1"/>
    </xf>
    <xf numFmtId="4" fontId="1" fillId="3" borderId="37" xfId="0" applyNumberFormat="1" applyFont="1" applyFill="1" applyBorder="1" applyAlignment="1">
      <alignment horizontal="right" vertical="center" wrapText="1"/>
    </xf>
    <xf numFmtId="4" fontId="1" fillId="3" borderId="39" xfId="0" applyNumberFormat="1" applyFont="1" applyFill="1" applyBorder="1" applyAlignment="1">
      <alignment horizontal="right" vertical="center" wrapText="1"/>
    </xf>
    <xf numFmtId="4" fontId="1" fillId="3" borderId="3" xfId="0" applyNumberFormat="1" applyFont="1" applyFill="1" applyBorder="1" applyAlignment="1">
      <alignment horizontal="right" vertical="center" wrapText="1"/>
    </xf>
    <xf numFmtId="4" fontId="6" fillId="3" borderId="35" xfId="0" applyNumberFormat="1" applyFont="1" applyFill="1" applyBorder="1" applyAlignment="1">
      <alignment horizontal="right" vertical="center" wrapText="1"/>
    </xf>
    <xf numFmtId="4" fontId="6" fillId="3" borderId="36" xfId="0" applyNumberFormat="1" applyFont="1" applyFill="1" applyBorder="1" applyAlignment="1">
      <alignment horizontal="right" vertical="center" wrapText="1"/>
    </xf>
    <xf numFmtId="4" fontId="6" fillId="3" borderId="35" xfId="0" applyNumberFormat="1" applyFont="1" applyFill="1" applyBorder="1" applyAlignment="1">
      <alignment vertical="center"/>
    </xf>
    <xf numFmtId="4" fontId="6" fillId="3" borderId="36" xfId="0" applyNumberFormat="1" applyFont="1" applyFill="1" applyBorder="1" applyAlignment="1">
      <alignment vertical="center"/>
    </xf>
    <xf numFmtId="49" fontId="1" fillId="3" borderId="17" xfId="0" applyNumberFormat="1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center" wrapText="1"/>
    </xf>
    <xf numFmtId="4" fontId="1" fillId="3" borderId="17" xfId="0" applyNumberFormat="1" applyFont="1" applyFill="1" applyBorder="1" applyAlignment="1">
      <alignment horizontal="center" vertical="center" wrapText="1"/>
    </xf>
    <xf numFmtId="4" fontId="1" fillId="3" borderId="17" xfId="0" applyNumberFormat="1" applyFont="1" applyFill="1" applyBorder="1" applyAlignment="1">
      <alignment horizontal="right" vertical="center" wrapText="1"/>
    </xf>
    <xf numFmtId="4" fontId="1" fillId="3" borderId="18" xfId="0" applyNumberFormat="1" applyFont="1" applyFill="1" applyBorder="1" applyAlignment="1">
      <alignment horizontal="right" vertical="center" wrapText="1"/>
    </xf>
    <xf numFmtId="4" fontId="1" fillId="3" borderId="20" xfId="0" applyNumberFormat="1" applyFont="1" applyFill="1" applyBorder="1" applyAlignment="1">
      <alignment horizontal="right" vertical="center" wrapText="1"/>
    </xf>
    <xf numFmtId="4" fontId="7" fillId="0" borderId="24" xfId="0" applyNumberFormat="1" applyFont="1" applyFill="1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4" fontId="1" fillId="0" borderId="26" xfId="0" applyNumberFormat="1" applyFont="1" applyFill="1" applyBorder="1" applyAlignment="1">
      <alignment horizontal="center" vertical="center" wrapText="1"/>
    </xf>
    <xf numFmtId="3" fontId="1" fillId="0" borderId="45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16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4" fontId="6" fillId="2" borderId="37" xfId="0" applyNumberFormat="1" applyFont="1" applyFill="1" applyBorder="1" applyAlignment="1">
      <alignment vertical="center"/>
    </xf>
    <xf numFmtId="164" fontId="6" fillId="2" borderId="35" xfId="0" applyNumberFormat="1" applyFont="1" applyFill="1" applyBorder="1" applyAlignment="1">
      <alignment horizontal="center" vertical="center"/>
    </xf>
    <xf numFmtId="164" fontId="6" fillId="2" borderId="37" xfId="0" applyNumberFormat="1" applyFont="1" applyFill="1" applyBorder="1" applyAlignment="1">
      <alignment horizontal="center" vertical="center"/>
    </xf>
    <xf numFmtId="4" fontId="6" fillId="2" borderId="39" xfId="0" applyNumberFormat="1" applyFont="1" applyFill="1" applyBorder="1" applyAlignment="1">
      <alignment vertical="center"/>
    </xf>
    <xf numFmtId="4" fontId="6" fillId="2" borderId="40" xfId="0" applyNumberFormat="1" applyFont="1" applyFill="1" applyBorder="1" applyAlignment="1">
      <alignment vertical="center"/>
    </xf>
    <xf numFmtId="0" fontId="6" fillId="2" borderId="36" xfId="0" applyFont="1" applyFill="1" applyBorder="1" applyAlignment="1">
      <alignment vertical="center"/>
    </xf>
    <xf numFmtId="0" fontId="6" fillId="2" borderId="41" xfId="0" applyFont="1" applyFill="1" applyBorder="1" applyAlignment="1">
      <alignment vertical="center"/>
    </xf>
    <xf numFmtId="0" fontId="6" fillId="2" borderId="37" xfId="0" applyFont="1" applyFill="1" applyBorder="1" applyAlignment="1">
      <alignment vertical="center"/>
    </xf>
    <xf numFmtId="14" fontId="1" fillId="0" borderId="10" xfId="0" applyNumberFormat="1" applyFont="1" applyFill="1" applyBorder="1" applyAlignment="1">
      <alignment vertical="center"/>
    </xf>
    <xf numFmtId="164" fontId="1" fillId="0" borderId="9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4" fontId="1" fillId="0" borderId="27" xfId="0" applyNumberFormat="1" applyFont="1" applyFill="1" applyBorder="1" applyAlignment="1">
      <alignment vertical="center"/>
    </xf>
    <xf numFmtId="4" fontId="1" fillId="0" borderId="19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4" fontId="1" fillId="0" borderId="12" xfId="0" applyNumberFormat="1" applyFont="1" applyFill="1" applyBorder="1" applyAlignment="1">
      <alignment vertical="center"/>
    </xf>
    <xf numFmtId="14" fontId="6" fillId="0" borderId="10" xfId="0" applyNumberFormat="1" applyFont="1" applyFill="1" applyBorder="1" applyAlignment="1">
      <alignment vertical="center"/>
    </xf>
    <xf numFmtId="4" fontId="6" fillId="0" borderId="12" xfId="0" applyNumberFormat="1" applyFont="1" applyFill="1" applyBorder="1" applyAlignment="1">
      <alignment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11" xfId="0" applyNumberFormat="1" applyFont="1" applyFill="1" applyBorder="1" applyAlignment="1">
      <alignment horizontal="center" vertical="center"/>
    </xf>
    <xf numFmtId="4" fontId="6" fillId="0" borderId="27" xfId="0" applyNumberFormat="1" applyFont="1" applyFill="1" applyBorder="1" applyAlignment="1">
      <alignment vertical="center"/>
    </xf>
    <xf numFmtId="4" fontId="6" fillId="0" borderId="10" xfId="0" applyNumberFormat="1" applyFont="1" applyFill="1" applyBorder="1" applyAlignment="1">
      <alignment vertical="center"/>
    </xf>
    <xf numFmtId="4" fontId="6" fillId="0" borderId="19" xfId="0" applyNumberFormat="1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49" fontId="1" fillId="0" borderId="10" xfId="0" applyNumberFormat="1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>
      <alignment vertical="center"/>
    </xf>
    <xf numFmtId="0" fontId="6" fillId="3" borderId="36" xfId="0" applyFont="1" applyFill="1" applyBorder="1" applyAlignment="1">
      <alignment vertical="center"/>
    </xf>
    <xf numFmtId="0" fontId="6" fillId="3" borderId="41" xfId="0" applyFont="1" applyFill="1" applyBorder="1" applyAlignment="1">
      <alignment vertical="center"/>
    </xf>
    <xf numFmtId="4" fontId="6" fillId="3" borderId="37" xfId="0" applyNumberFormat="1" applyFont="1" applyFill="1" applyBorder="1" applyAlignment="1">
      <alignment vertical="center"/>
    </xf>
    <xf numFmtId="4" fontId="6" fillId="3" borderId="39" xfId="0" applyNumberFormat="1" applyFont="1" applyFill="1" applyBorder="1" applyAlignment="1">
      <alignment vertical="center"/>
    </xf>
    <xf numFmtId="4" fontId="6" fillId="3" borderId="40" xfId="0" applyNumberFormat="1" applyFont="1" applyFill="1" applyBorder="1" applyAlignment="1">
      <alignment vertical="center"/>
    </xf>
    <xf numFmtId="4" fontId="6" fillId="0" borderId="0" xfId="0" applyNumberFormat="1" applyFont="1" applyFill="1" applyAlignment="1">
      <alignment horizontal="center" vertical="center"/>
    </xf>
    <xf numFmtId="49" fontId="6" fillId="3" borderId="34" xfId="0" applyNumberFormat="1" applyFont="1" applyFill="1" applyBorder="1" applyAlignment="1">
      <alignment horizontal="center" vertical="center" wrapText="1"/>
    </xf>
    <xf numFmtId="4" fontId="6" fillId="3" borderId="34" xfId="0" applyNumberFormat="1" applyFont="1" applyFill="1" applyBorder="1" applyAlignment="1">
      <alignment horizontal="center" vertical="center" wrapText="1"/>
    </xf>
    <xf numFmtId="4" fontId="6" fillId="3" borderId="34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justify" vertical="center"/>
    </xf>
    <xf numFmtId="0" fontId="12" fillId="0" borderId="0" xfId="0" applyFont="1" applyFill="1" applyAlignment="1">
      <alignment horizontal="justify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4" fontId="11" fillId="0" borderId="0" xfId="0" applyNumberFormat="1" applyFont="1" applyFill="1" applyAlignment="1">
      <alignment vertical="center"/>
    </xf>
    <xf numFmtId="164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49" fontId="11" fillId="0" borderId="0" xfId="0" applyNumberFormat="1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" fontId="14" fillId="0" borderId="0" xfId="0" applyNumberFormat="1" applyFont="1" applyFill="1" applyAlignment="1">
      <alignment vertical="center"/>
    </xf>
    <xf numFmtId="49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164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left" vertical="center"/>
    </xf>
    <xf numFmtId="4" fontId="6" fillId="3" borderId="34" xfId="0" applyNumberFormat="1" applyFont="1" applyFill="1" applyBorder="1" applyAlignment="1">
      <alignment vertical="center" wrapText="1"/>
    </xf>
    <xf numFmtId="4" fontId="6" fillId="0" borderId="11" xfId="0" applyNumberFormat="1" applyFont="1" applyFill="1" applyBorder="1" applyAlignment="1">
      <alignment vertical="center"/>
    </xf>
    <xf numFmtId="4" fontId="6" fillId="0" borderId="43" xfId="0" applyNumberFormat="1" applyFont="1" applyFill="1" applyBorder="1" applyAlignment="1">
      <alignment vertical="center"/>
    </xf>
    <xf numFmtId="4" fontId="6" fillId="0" borderId="44" xfId="0" applyNumberFormat="1" applyFont="1" applyFill="1" applyBorder="1" applyAlignment="1">
      <alignment vertical="center"/>
    </xf>
    <xf numFmtId="0" fontId="6" fillId="0" borderId="44" xfId="0" applyFont="1" applyFill="1" applyBorder="1" applyAlignment="1">
      <alignment vertical="center"/>
    </xf>
    <xf numFmtId="0" fontId="6" fillId="0" borderId="46" xfId="0" applyFont="1" applyFill="1" applyBorder="1" applyAlignment="1">
      <alignment vertical="center"/>
    </xf>
    <xf numFmtId="4" fontId="6" fillId="0" borderId="47" xfId="0" applyNumberFormat="1" applyFont="1" applyFill="1" applyBorder="1" applyAlignment="1">
      <alignment vertical="center"/>
    </xf>
    <xf numFmtId="4" fontId="1" fillId="3" borderId="14" xfId="0" applyNumberFormat="1" applyFont="1" applyFill="1" applyBorder="1" applyAlignment="1">
      <alignment vertical="center" wrapText="1"/>
    </xf>
    <xf numFmtId="0" fontId="6" fillId="3" borderId="34" xfId="0" applyFont="1" applyFill="1" applyBorder="1" applyAlignment="1">
      <alignment horizontal="left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right" vertical="center" wrapText="1"/>
    </xf>
    <xf numFmtId="4" fontId="6" fillId="0" borderId="13" xfId="0" applyNumberFormat="1" applyFont="1" applyFill="1" applyBorder="1" applyAlignment="1">
      <alignment horizontal="right" vertical="center" wrapText="1"/>
    </xf>
    <xf numFmtId="4" fontId="6" fillId="0" borderId="7" xfId="0" applyNumberFormat="1" applyFont="1" applyFill="1" applyBorder="1" applyAlignment="1">
      <alignment horizontal="right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4" fontId="6" fillId="0" borderId="27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/>
    </xf>
    <xf numFmtId="4" fontId="6" fillId="0" borderId="29" xfId="0" applyNumberFormat="1" applyFont="1" applyFill="1" applyBorder="1" applyAlignment="1">
      <alignment horizontal="right" vertical="center" wrapText="1"/>
    </xf>
    <xf numFmtId="4" fontId="6" fillId="0" borderId="30" xfId="0" applyNumberFormat="1" applyFont="1" applyFill="1" applyBorder="1" applyAlignment="1">
      <alignment horizontal="right" vertical="center" wrapText="1"/>
    </xf>
    <xf numFmtId="4" fontId="6" fillId="0" borderId="42" xfId="0" applyNumberFormat="1" applyFont="1" applyFill="1" applyBorder="1" applyAlignment="1">
      <alignment horizontal="right" vertical="center" wrapText="1"/>
    </xf>
    <xf numFmtId="49" fontId="6" fillId="0" borderId="27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4" fontId="7" fillId="0" borderId="48" xfId="0" applyNumberFormat="1" applyFont="1" applyFill="1" applyBorder="1" applyAlignment="1">
      <alignment horizontal="center" vertical="center" wrapText="1"/>
    </xf>
    <xf numFmtId="49" fontId="7" fillId="0" borderId="49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165" fontId="1" fillId="2" borderId="34" xfId="0" applyNumberFormat="1" applyFont="1" applyFill="1" applyBorder="1" applyAlignment="1">
      <alignment horizontal="center" vertical="center" wrapText="1"/>
    </xf>
    <xf numFmtId="165" fontId="1" fillId="0" borderId="15" xfId="0" applyNumberFormat="1" applyFont="1" applyFill="1" applyBorder="1" applyAlignment="1">
      <alignment horizontal="center" vertical="center" wrapText="1"/>
    </xf>
    <xf numFmtId="165" fontId="6" fillId="0" borderId="15" xfId="0" applyNumberFormat="1" applyFont="1" applyFill="1" applyBorder="1" applyAlignment="1">
      <alignment horizontal="center" vertical="center" wrapText="1"/>
    </xf>
    <xf numFmtId="165" fontId="1" fillId="3" borderId="34" xfId="0" applyNumberFormat="1" applyFont="1" applyFill="1" applyBorder="1" applyAlignment="1">
      <alignment horizontal="center" vertical="center" wrapText="1"/>
    </xf>
    <xf numFmtId="165" fontId="6" fillId="3" borderId="34" xfId="0" applyNumberFormat="1" applyFont="1" applyFill="1" applyBorder="1" applyAlignment="1">
      <alignment horizontal="center" vertical="center" wrapText="1"/>
    </xf>
    <xf numFmtId="165" fontId="1" fillId="3" borderId="17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Alignment="1">
      <alignment horizontal="center" vertical="center"/>
    </xf>
    <xf numFmtId="165" fontId="14" fillId="0" borderId="0" xfId="0" applyNumberFormat="1" applyFont="1" applyFill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2" fontId="10" fillId="0" borderId="0" xfId="0" applyNumberFormat="1" applyFont="1" applyFill="1" applyAlignment="1">
      <alignment vertical="center"/>
    </xf>
    <xf numFmtId="4" fontId="10" fillId="0" borderId="0" xfId="0" applyNumberFormat="1" applyFont="1" applyFill="1" applyAlignment="1">
      <alignment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166" fontId="2" fillId="0" borderId="0" xfId="0" applyNumberFormat="1" applyFont="1" applyFill="1" applyAlignment="1">
      <alignment vertical="center"/>
    </xf>
    <xf numFmtId="4" fontId="4" fillId="0" borderId="15" xfId="0" applyNumberFormat="1" applyFont="1" applyFill="1" applyBorder="1" applyAlignment="1">
      <alignment horizontal="center" vertical="center" wrapText="1"/>
    </xf>
    <xf numFmtId="165" fontId="4" fillId="0" borderId="15" xfId="0" applyNumberFormat="1" applyFont="1" applyFill="1" applyBorder="1" applyAlignment="1">
      <alignment horizontal="center" vertical="center" wrapText="1"/>
    </xf>
    <xf numFmtId="165" fontId="4" fillId="4" borderId="15" xfId="0" applyNumberFormat="1" applyFont="1" applyFill="1" applyBorder="1" applyAlignment="1">
      <alignment horizontal="center" vertical="center" wrapText="1"/>
    </xf>
    <xf numFmtId="4" fontId="4" fillId="4" borderId="15" xfId="0" applyNumberFormat="1" applyFont="1" applyFill="1" applyBorder="1" applyAlignment="1">
      <alignment horizontal="right" vertical="center" wrapText="1"/>
    </xf>
    <xf numFmtId="167" fontId="6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7" fillId="0" borderId="0" xfId="0" applyNumberFormat="1" applyFont="1" applyFill="1" applyAlignment="1">
      <alignment vertical="center"/>
    </xf>
    <xf numFmtId="167" fontId="11" fillId="0" borderId="0" xfId="0" applyNumberFormat="1" applyFont="1" applyFill="1" applyAlignment="1">
      <alignment vertical="center"/>
    </xf>
    <xf numFmtId="167" fontId="14" fillId="0" borderId="0" xfId="0" applyNumberFormat="1" applyFont="1" applyFill="1" applyAlignment="1">
      <alignment vertical="center"/>
    </xf>
    <xf numFmtId="4" fontId="6" fillId="3" borderId="25" xfId="0" applyNumberFormat="1" applyFont="1" applyFill="1" applyBorder="1" applyAlignment="1">
      <alignment horizontal="right" vertical="center" wrapText="1"/>
    </xf>
    <xf numFmtId="168" fontId="11" fillId="0" borderId="0" xfId="0" applyNumberFormat="1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11" fillId="4" borderId="0" xfId="0" applyFont="1" applyFill="1" applyAlignment="1">
      <alignment vertical="center"/>
    </xf>
    <xf numFmtId="0" fontId="14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7" fillId="4" borderId="0" xfId="0" applyFont="1" applyFill="1" applyAlignment="1">
      <alignment vertical="center"/>
    </xf>
    <xf numFmtId="4" fontId="1" fillId="4" borderId="0" xfId="0" applyNumberFormat="1" applyFont="1" applyFill="1" applyAlignment="1">
      <alignment vertical="center"/>
    </xf>
    <xf numFmtId="2" fontId="11" fillId="0" borderId="0" xfId="0" applyNumberFormat="1" applyFont="1" applyFill="1" applyAlignment="1">
      <alignment vertical="center"/>
    </xf>
    <xf numFmtId="2" fontId="6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4" fontId="6" fillId="0" borderId="51" xfId="0" applyNumberFormat="1" applyFont="1" applyFill="1" applyBorder="1" applyAlignment="1">
      <alignment vertical="center"/>
    </xf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 wrapText="1"/>
    </xf>
    <xf numFmtId="14" fontId="6" fillId="0" borderId="7" xfId="0" applyNumberFormat="1" applyFont="1" applyFill="1" applyBorder="1" applyAlignment="1">
      <alignment vertical="center"/>
    </xf>
    <xf numFmtId="4" fontId="6" fillId="0" borderId="52" xfId="0" applyNumberFormat="1" applyFont="1" applyFill="1" applyBorder="1" applyAlignment="1">
      <alignment vertical="center"/>
    </xf>
    <xf numFmtId="164" fontId="6" fillId="0" borderId="13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4" fontId="6" fillId="0" borderId="53" xfId="0" applyNumberFormat="1" applyFont="1" applyFill="1" applyBorder="1" applyAlignment="1">
      <alignment vertical="center"/>
    </xf>
    <xf numFmtId="4" fontId="6" fillId="0" borderId="7" xfId="0" applyNumberFormat="1" applyFont="1" applyFill="1" applyBorder="1" applyAlignment="1">
      <alignment vertical="center"/>
    </xf>
    <xf numFmtId="4" fontId="6" fillId="0" borderId="13" xfId="0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52" xfId="0" applyFont="1" applyFill="1" applyBorder="1" applyAlignment="1">
      <alignment vertical="center"/>
    </xf>
    <xf numFmtId="4" fontId="6" fillId="0" borderId="8" xfId="0" applyNumberFormat="1" applyFont="1" applyFill="1" applyBorder="1" applyAlignment="1">
      <alignment vertical="center"/>
    </xf>
    <xf numFmtId="4" fontId="6" fillId="0" borderId="16" xfId="0" applyNumberFormat="1" applyFont="1" applyFill="1" applyBorder="1" applyAlignment="1">
      <alignment horizontal="center" vertical="center" wrapText="1"/>
    </xf>
    <xf numFmtId="165" fontId="6" fillId="0" borderId="16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right" vertical="center" wrapText="1"/>
    </xf>
    <xf numFmtId="4" fontId="6" fillId="0" borderId="9" xfId="0" applyNumberFormat="1" applyFont="1" applyFill="1" applyBorder="1" applyAlignment="1">
      <alignment horizontal="right" vertical="center" wrapText="1"/>
    </xf>
    <xf numFmtId="4" fontId="6" fillId="0" borderId="10" xfId="0" applyNumberFormat="1" applyFont="1" applyFill="1" applyBorder="1" applyAlignment="1">
      <alignment horizontal="right" vertical="center" wrapText="1"/>
    </xf>
    <xf numFmtId="4" fontId="6" fillId="0" borderId="12" xfId="0" applyNumberFormat="1" applyFont="1" applyFill="1" applyBorder="1" applyAlignment="1">
      <alignment horizontal="right" vertical="center" wrapText="1"/>
    </xf>
    <xf numFmtId="4" fontId="6" fillId="0" borderId="52" xfId="0" applyNumberFormat="1" applyFont="1" applyFill="1" applyBorder="1" applyAlignment="1">
      <alignment horizontal="right" vertical="center" wrapText="1"/>
    </xf>
    <xf numFmtId="4" fontId="1" fillId="0" borderId="52" xfId="0" applyNumberFormat="1" applyFont="1" applyFill="1" applyBorder="1" applyAlignment="1">
      <alignment horizontal="right" vertical="center" wrapText="1"/>
    </xf>
    <xf numFmtId="4" fontId="6" fillId="0" borderId="54" xfId="0" applyNumberFormat="1" applyFont="1" applyFill="1" applyBorder="1" applyAlignment="1">
      <alignment horizontal="right" vertical="center" wrapText="1"/>
    </xf>
    <xf numFmtId="0" fontId="1" fillId="0" borderId="50" xfId="0" applyFont="1" applyFill="1" applyBorder="1" applyAlignment="1">
      <alignment horizontal="center" vertical="center" wrapText="1"/>
    </xf>
    <xf numFmtId="49" fontId="7" fillId="0" borderId="33" xfId="0" applyNumberFormat="1" applyFont="1" applyFill="1" applyBorder="1" applyAlignment="1">
      <alignment horizontal="center" vertical="center" wrapText="1"/>
    </xf>
    <xf numFmtId="4" fontId="6" fillId="2" borderId="41" xfId="0" applyNumberFormat="1" applyFont="1" applyFill="1" applyBorder="1" applyAlignment="1">
      <alignment horizontal="right" vertical="center" wrapText="1"/>
    </xf>
    <xf numFmtId="4" fontId="1" fillId="3" borderId="55" xfId="0" applyNumberFormat="1" applyFont="1" applyFill="1" applyBorder="1" applyAlignment="1">
      <alignment horizontal="right" vertical="center" wrapText="1"/>
    </xf>
    <xf numFmtId="4" fontId="6" fillId="3" borderId="41" xfId="0" applyNumberFormat="1" applyFont="1" applyFill="1" applyBorder="1" applyAlignment="1">
      <alignment horizontal="right" vertical="center" wrapText="1"/>
    </xf>
    <xf numFmtId="4" fontId="1" fillId="3" borderId="38" xfId="0" applyNumberFormat="1" applyFont="1" applyFill="1" applyBorder="1" applyAlignment="1">
      <alignment horizontal="right" vertical="center" wrapText="1"/>
    </xf>
    <xf numFmtId="4" fontId="1" fillId="3" borderId="56" xfId="0" applyNumberFormat="1" applyFont="1" applyFill="1" applyBorder="1" applyAlignment="1">
      <alignment horizontal="right" vertical="center" wrapText="1"/>
    </xf>
    <xf numFmtId="4" fontId="1" fillId="0" borderId="16" xfId="0" applyNumberFormat="1" applyFont="1" applyFill="1" applyBorder="1" applyAlignment="1">
      <alignment horizontal="right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4" fontId="7" fillId="0" borderId="32" xfId="0" applyNumberFormat="1" applyFont="1" applyFill="1" applyBorder="1" applyAlignment="1">
      <alignment horizontal="center" vertical="center" wrapText="1"/>
    </xf>
    <xf numFmtId="4" fontId="1" fillId="0" borderId="27" xfId="0" applyNumberFormat="1" applyFont="1" applyFill="1" applyBorder="1" applyAlignment="1">
      <alignment horizontal="center" vertical="center"/>
    </xf>
    <xf numFmtId="4" fontId="6" fillId="2" borderId="34" xfId="0" applyNumberFormat="1" applyFont="1" applyFill="1" applyBorder="1" applyAlignment="1">
      <alignment horizontal="right" vertical="center" wrapText="1"/>
    </xf>
    <xf numFmtId="4" fontId="6" fillId="3" borderId="34" xfId="0" applyNumberFormat="1" applyFont="1" applyFill="1" applyBorder="1" applyAlignment="1">
      <alignment vertical="center"/>
    </xf>
    <xf numFmtId="4" fontId="6" fillId="0" borderId="57" xfId="0" applyNumberFormat="1" applyFont="1" applyFill="1" applyBorder="1" applyAlignment="1">
      <alignment horizontal="right" vertical="center" wrapText="1"/>
    </xf>
    <xf numFmtId="4" fontId="1" fillId="0" borderId="57" xfId="0" applyNumberFormat="1" applyFont="1" applyFill="1" applyBorder="1" applyAlignment="1">
      <alignment horizontal="right" vertical="center" wrapText="1"/>
    </xf>
    <xf numFmtId="4" fontId="6" fillId="0" borderId="58" xfId="0" applyNumberFormat="1" applyFont="1" applyFill="1" applyBorder="1" applyAlignment="1">
      <alignment vertical="center"/>
    </xf>
    <xf numFmtId="49" fontId="6" fillId="0" borderId="44" xfId="0" applyNumberFormat="1" applyFont="1" applyFill="1" applyBorder="1" applyAlignment="1">
      <alignment horizontal="center" vertical="center"/>
    </xf>
    <xf numFmtId="4" fontId="6" fillId="0" borderId="58" xfId="0" applyNumberFormat="1" applyFont="1" applyFill="1" applyBorder="1" applyAlignment="1">
      <alignment horizontal="center" vertical="center"/>
    </xf>
    <xf numFmtId="164" fontId="6" fillId="0" borderId="43" xfId="0" applyNumberFormat="1" applyFont="1" applyFill="1" applyBorder="1" applyAlignment="1">
      <alignment horizontal="center" vertical="center"/>
    </xf>
    <xf numFmtId="164" fontId="6" fillId="0" borderId="47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vertical="center"/>
    </xf>
    <xf numFmtId="4" fontId="1" fillId="3" borderId="14" xfId="0" applyNumberFormat="1" applyFont="1" applyFill="1" applyBorder="1" applyAlignment="1">
      <alignment horizontal="right"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4" fontId="6" fillId="0" borderId="27" xfId="0" applyNumberFormat="1" applyFont="1" applyFill="1" applyBorder="1" applyAlignment="1" applyProtection="1">
      <alignment horizontal="center" vertical="center"/>
    </xf>
    <xf numFmtId="0" fontId="1" fillId="0" borderId="33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" fontId="1" fillId="0" borderId="14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49" fontId="1" fillId="3" borderId="14" xfId="0" applyNumberFormat="1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left" vertical="center" wrapText="1"/>
    </xf>
    <xf numFmtId="4" fontId="1" fillId="3" borderId="14" xfId="0" applyNumberFormat="1" applyFont="1" applyFill="1" applyBorder="1" applyAlignment="1">
      <alignment horizontal="center" vertical="center" wrapText="1"/>
    </xf>
    <xf numFmtId="165" fontId="1" fillId="3" borderId="14" xfId="0" applyNumberFormat="1" applyFont="1" applyFill="1" applyBorder="1" applyAlignment="1">
      <alignment horizontal="center" vertical="center" wrapText="1"/>
    </xf>
    <xf numFmtId="49" fontId="6" fillId="3" borderId="14" xfId="0" applyNumberFormat="1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left" vertical="center" wrapText="1"/>
    </xf>
    <xf numFmtId="4" fontId="6" fillId="3" borderId="14" xfId="0" applyNumberFormat="1" applyFont="1" applyFill="1" applyBorder="1" applyAlignment="1">
      <alignment horizontal="center" vertical="center" wrapText="1"/>
    </xf>
    <xf numFmtId="165" fontId="6" fillId="3" borderId="14" xfId="0" applyNumberFormat="1" applyFont="1" applyFill="1" applyBorder="1" applyAlignment="1">
      <alignment horizontal="center" vertical="center" wrapText="1"/>
    </xf>
    <xf numFmtId="4" fontId="6" fillId="3" borderId="14" xfId="0" applyNumberFormat="1" applyFont="1" applyFill="1" applyBorder="1" applyAlignment="1">
      <alignment horizontal="right" vertical="center" wrapText="1"/>
    </xf>
    <xf numFmtId="4" fontId="6" fillId="3" borderId="14" xfId="0" applyNumberFormat="1" applyFont="1" applyFill="1" applyBorder="1" applyAlignment="1">
      <alignment vertical="center" wrapText="1"/>
    </xf>
    <xf numFmtId="4" fontId="6" fillId="3" borderId="14" xfId="0" applyNumberFormat="1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4" fontId="1" fillId="3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43" fontId="6" fillId="0" borderId="0" xfId="2" applyFont="1" applyFill="1" applyAlignment="1">
      <alignment vertical="center"/>
    </xf>
    <xf numFmtId="43" fontId="6" fillId="0" borderId="0" xfId="0" applyNumberFormat="1" applyFont="1" applyFill="1" applyAlignment="1">
      <alignment vertical="center"/>
    </xf>
    <xf numFmtId="43" fontId="6" fillId="0" borderId="0" xfId="2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4" fontId="16" fillId="0" borderId="0" xfId="0" applyNumberFormat="1" applyFont="1" applyFill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4" fontId="16" fillId="0" borderId="0" xfId="0" applyNumberFormat="1" applyFont="1" applyFill="1" applyAlignment="1">
      <alignment vertical="center"/>
    </xf>
    <xf numFmtId="43" fontId="16" fillId="0" borderId="0" xfId="2" applyFont="1" applyFill="1" applyAlignment="1">
      <alignment vertical="center"/>
    </xf>
    <xf numFmtId="4" fontId="17" fillId="0" borderId="14" xfId="0" applyNumberFormat="1" applyFont="1" applyFill="1" applyBorder="1" applyAlignment="1">
      <alignment horizontal="center" vertical="center" wrapText="1"/>
    </xf>
    <xf numFmtId="4" fontId="1" fillId="0" borderId="34" xfId="0" applyNumberFormat="1" applyFont="1" applyFill="1" applyBorder="1" applyAlignment="1">
      <alignment horizontal="center" vertical="center" wrapText="1"/>
    </xf>
    <xf numFmtId="4" fontId="6" fillId="0" borderId="34" xfId="0" applyNumberFormat="1" applyFont="1" applyFill="1" applyBorder="1" applyAlignment="1">
      <alignment horizontal="right" vertical="center" wrapText="1"/>
    </xf>
    <xf numFmtId="0" fontId="6" fillId="0" borderId="15" xfId="0" applyFont="1" applyBorder="1" applyAlignment="1">
      <alignment vertical="center" wrapText="1"/>
    </xf>
    <xf numFmtId="4" fontId="6" fillId="0" borderId="15" xfId="0" applyNumberFormat="1" applyFont="1" applyFill="1" applyBorder="1" applyAlignment="1">
      <alignment vertical="center" wrapText="1"/>
    </xf>
    <xf numFmtId="4" fontId="6" fillId="0" borderId="15" xfId="0" applyNumberFormat="1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49" fontId="1" fillId="0" borderId="34" xfId="0" applyNumberFormat="1" applyFont="1" applyFill="1" applyBorder="1" applyAlignment="1">
      <alignment horizontal="center" vertical="center" wrapText="1"/>
    </xf>
    <xf numFmtId="0" fontId="6" fillId="0" borderId="34" xfId="0" applyFont="1" applyBorder="1" applyAlignment="1">
      <alignment vertical="center" wrapText="1"/>
    </xf>
    <xf numFmtId="165" fontId="1" fillId="0" borderId="34" xfId="0" applyNumberFormat="1" applyFont="1" applyFill="1" applyBorder="1" applyAlignment="1">
      <alignment horizontal="center" vertical="center" wrapText="1"/>
    </xf>
    <xf numFmtId="4" fontId="6" fillId="0" borderId="34" xfId="0" applyNumberFormat="1" applyFont="1" applyFill="1" applyBorder="1" applyAlignment="1">
      <alignment vertical="center" wrapText="1"/>
    </xf>
    <xf numFmtId="49" fontId="6" fillId="0" borderId="34" xfId="0" applyNumberFormat="1" applyFont="1" applyFill="1" applyBorder="1" applyAlignment="1">
      <alignment horizontal="right" vertical="center" wrapText="1"/>
    </xf>
    <xf numFmtId="164" fontId="6" fillId="0" borderId="15" xfId="0" applyNumberFormat="1" applyFont="1" applyFill="1" applyBorder="1" applyAlignment="1">
      <alignment horizontal="right" vertical="center"/>
    </xf>
    <xf numFmtId="4" fontId="6" fillId="3" borderId="14" xfId="0" applyNumberFormat="1" applyFont="1" applyFill="1" applyBorder="1" applyAlignment="1">
      <alignment horizontal="right" vertical="center"/>
    </xf>
    <xf numFmtId="0" fontId="1" fillId="0" borderId="2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right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4" fontId="1" fillId="0" borderId="34" xfId="0" applyNumberFormat="1" applyFont="1" applyFill="1" applyBorder="1" applyAlignment="1">
      <alignment vertical="center" wrapText="1"/>
    </xf>
    <xf numFmtId="4" fontId="1" fillId="0" borderId="15" xfId="0" applyNumberFormat="1" applyFont="1" applyFill="1" applyBorder="1" applyAlignment="1">
      <alignment vertical="center" wrapText="1"/>
    </xf>
    <xf numFmtId="14" fontId="6" fillId="0" borderId="34" xfId="0" applyNumberFormat="1" applyFont="1" applyFill="1" applyBorder="1" applyAlignment="1">
      <alignment horizontal="right" vertical="center" wrapText="1"/>
    </xf>
    <xf numFmtId="14" fontId="6" fillId="0" borderId="15" xfId="0" applyNumberFormat="1" applyFont="1" applyFill="1" applyBorder="1" applyAlignment="1">
      <alignment horizontal="right" vertical="center" wrapText="1"/>
    </xf>
    <xf numFmtId="14" fontId="6" fillId="0" borderId="15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2" fontId="17" fillId="0" borderId="3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6" fillId="0" borderId="15" xfId="0" applyNumberFormat="1" applyFont="1" applyFill="1" applyBorder="1" applyAlignment="1">
      <alignment vertical="center" wrapText="1"/>
    </xf>
    <xf numFmtId="2" fontId="6" fillId="0" borderId="34" xfId="0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7"/>
  <sheetViews>
    <sheetView tabSelected="1" view="pageBreakPreview" topLeftCell="B6" zoomScale="70" zoomScaleNormal="63" zoomScaleSheetLayoutView="70" workbookViewId="0">
      <pane ySplit="7" topLeftCell="A13" activePane="bottomLeft" state="frozen"/>
      <selection activeCell="A6" sqref="A6"/>
      <selection pane="bottomLeft" activeCell="L29" sqref="L29"/>
    </sheetView>
  </sheetViews>
  <sheetFormatPr defaultColWidth="9.140625" defaultRowHeight="15.75" x14ac:dyDescent="0.25"/>
  <cols>
    <col min="1" max="1" width="8.42578125" style="50" customWidth="1"/>
    <col min="2" max="2" width="30.5703125" style="75" customWidth="1"/>
    <col min="3" max="3" width="12.42578125" style="76" customWidth="1"/>
    <col min="4" max="4" width="15.85546875" style="158" customWidth="1"/>
    <col min="5" max="5" width="16.42578125" style="77" customWidth="1"/>
    <col min="6" max="6" width="16.7109375" style="77" customWidth="1"/>
    <col min="7" max="7" width="16.7109375" style="78" customWidth="1"/>
    <col min="8" max="8" width="15.5703125" style="78" customWidth="1"/>
    <col min="9" max="9" width="15.140625" style="77" customWidth="1"/>
    <col min="10" max="12" width="15.140625" style="75" customWidth="1"/>
    <col min="13" max="13" width="24" style="75" customWidth="1"/>
    <col min="14" max="14" width="16.7109375" style="75" customWidth="1"/>
    <col min="15" max="17" width="16.7109375" style="9" customWidth="1"/>
    <col min="18" max="20" width="17.28515625" style="75" customWidth="1"/>
    <col min="21" max="22" width="16.85546875" style="9" customWidth="1"/>
    <col min="23" max="23" width="16.85546875" style="75" customWidth="1"/>
    <col min="24" max="16384" width="9.140625" style="75"/>
  </cols>
  <sheetData>
    <row r="1" spans="1:23" x14ac:dyDescent="0.25">
      <c r="A1" s="30" t="s">
        <v>0</v>
      </c>
    </row>
    <row r="2" spans="1:23" x14ac:dyDescent="0.25">
      <c r="C2" s="31" t="s">
        <v>1</v>
      </c>
      <c r="D2" s="159" t="s">
        <v>1</v>
      </c>
      <c r="E2" s="32" t="s">
        <v>1</v>
      </c>
      <c r="F2" s="32" t="s">
        <v>1</v>
      </c>
      <c r="I2" s="32"/>
    </row>
    <row r="3" spans="1:23" x14ac:dyDescent="0.25">
      <c r="C3" s="31" t="s">
        <v>2</v>
      </c>
      <c r="D3" s="159" t="s">
        <v>2</v>
      </c>
      <c r="E3" s="32" t="s">
        <v>2</v>
      </c>
      <c r="F3" s="32" t="s">
        <v>2</v>
      </c>
      <c r="I3" s="32"/>
    </row>
    <row r="4" spans="1:23" x14ac:dyDescent="0.25">
      <c r="C4" s="31"/>
      <c r="D4" s="159"/>
      <c r="E4" s="32"/>
      <c r="F4" s="32"/>
      <c r="I4" s="32"/>
    </row>
    <row r="5" spans="1:23" ht="24" customHeight="1" x14ac:dyDescent="0.25">
      <c r="A5" s="299" t="s">
        <v>29</v>
      </c>
      <c r="B5" s="299"/>
      <c r="C5" s="299"/>
      <c r="D5" s="299"/>
      <c r="E5" s="299"/>
      <c r="F5" s="299"/>
      <c r="I5" s="307"/>
      <c r="J5" s="79"/>
      <c r="K5" s="79"/>
      <c r="L5" s="79"/>
      <c r="M5" s="79"/>
      <c r="N5" s="79"/>
    </row>
    <row r="6" spans="1:23" x14ac:dyDescent="0.25">
      <c r="A6" s="33"/>
      <c r="B6" s="33"/>
      <c r="G6" s="295"/>
      <c r="H6" s="296"/>
      <c r="J6" s="80"/>
      <c r="K6" s="80"/>
      <c r="L6" s="80"/>
      <c r="M6" s="80"/>
      <c r="N6" s="80"/>
      <c r="O6" s="33"/>
      <c r="P6" s="33"/>
      <c r="Q6" s="33"/>
      <c r="R6" s="80" t="s">
        <v>329</v>
      </c>
      <c r="S6" s="77"/>
      <c r="T6" s="77"/>
      <c r="U6" s="77"/>
      <c r="V6" s="75"/>
    </row>
    <row r="7" spans="1:23" ht="19.5" customHeight="1" x14ac:dyDescent="0.25">
      <c r="A7" s="34"/>
      <c r="B7" s="34"/>
      <c r="C7" s="31"/>
      <c r="D7" s="159"/>
      <c r="E7" s="179"/>
      <c r="F7" s="178"/>
      <c r="I7" s="178"/>
    </row>
    <row r="8" spans="1:23" ht="19.5" customHeight="1" x14ac:dyDescent="0.25">
      <c r="A8" s="310" t="s">
        <v>327</v>
      </c>
      <c r="B8" s="310"/>
      <c r="C8" s="310"/>
      <c r="D8" s="310"/>
      <c r="E8" s="310"/>
      <c r="F8" s="310"/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</row>
    <row r="9" spans="1:23" ht="16.5" thickBot="1" x14ac:dyDescent="0.3">
      <c r="A9" s="35"/>
    </row>
    <row r="10" spans="1:23" s="80" customFormat="1" ht="32.25" customHeight="1" thickBot="1" x14ac:dyDescent="0.3">
      <c r="A10" s="327" t="s">
        <v>326</v>
      </c>
      <c r="B10" s="311" t="s">
        <v>4</v>
      </c>
      <c r="C10" s="311" t="s">
        <v>284</v>
      </c>
      <c r="D10" s="329" t="s">
        <v>286</v>
      </c>
      <c r="E10" s="311" t="s">
        <v>285</v>
      </c>
      <c r="F10" s="311" t="s">
        <v>319</v>
      </c>
      <c r="G10" s="325" t="s">
        <v>30</v>
      </c>
      <c r="H10" s="326"/>
      <c r="I10" s="316" t="s">
        <v>342</v>
      </c>
      <c r="J10" s="317"/>
      <c r="K10" s="317"/>
      <c r="L10" s="318"/>
      <c r="M10" s="311" t="s">
        <v>333</v>
      </c>
      <c r="N10" s="311" t="s">
        <v>322</v>
      </c>
      <c r="O10" s="313" t="s">
        <v>323</v>
      </c>
      <c r="P10" s="314"/>
      <c r="Q10" s="315"/>
      <c r="R10" s="319" t="s">
        <v>324</v>
      </c>
      <c r="S10" s="320"/>
      <c r="T10" s="321"/>
      <c r="U10" s="322" t="s">
        <v>31</v>
      </c>
      <c r="V10" s="323"/>
      <c r="W10" s="324"/>
    </row>
    <row r="11" spans="1:23" s="80" customFormat="1" ht="55.5" customHeight="1" thickBot="1" x14ac:dyDescent="0.3">
      <c r="A11" s="328"/>
      <c r="B11" s="312"/>
      <c r="C11" s="312"/>
      <c r="D11" s="330"/>
      <c r="E11" s="312"/>
      <c r="F11" s="312"/>
      <c r="G11" s="250" t="s">
        <v>302</v>
      </c>
      <c r="H11" s="250" t="s">
        <v>303</v>
      </c>
      <c r="I11" s="275" t="s">
        <v>343</v>
      </c>
      <c r="J11" s="275" t="s">
        <v>344</v>
      </c>
      <c r="K11" s="275" t="s">
        <v>6</v>
      </c>
      <c r="L11" s="275" t="s">
        <v>334</v>
      </c>
      <c r="M11" s="312"/>
      <c r="N11" s="312"/>
      <c r="O11" s="275" t="s">
        <v>330</v>
      </c>
      <c r="P11" s="275" t="s">
        <v>330</v>
      </c>
      <c r="Q11" s="275" t="s">
        <v>330</v>
      </c>
      <c r="R11" s="275" t="s">
        <v>330</v>
      </c>
      <c r="S11" s="275" t="s">
        <v>330</v>
      </c>
      <c r="T11" s="275" t="s">
        <v>330</v>
      </c>
      <c r="U11" s="275" t="s">
        <v>330</v>
      </c>
      <c r="V11" s="275" t="s">
        <v>335</v>
      </c>
      <c r="W11" s="297" t="s">
        <v>317</v>
      </c>
    </row>
    <row r="12" spans="1:23" s="80" customFormat="1" ht="16.5" thickBot="1" x14ac:dyDescent="0.3">
      <c r="A12" s="10">
        <v>1</v>
      </c>
      <c r="B12" s="37">
        <v>2</v>
      </c>
      <c r="C12" s="297">
        <v>3</v>
      </c>
      <c r="D12" s="297">
        <v>4</v>
      </c>
      <c r="E12" s="297">
        <v>5</v>
      </c>
      <c r="F12" s="37">
        <v>6</v>
      </c>
      <c r="G12" s="37">
        <v>7</v>
      </c>
      <c r="H12" s="37">
        <v>8</v>
      </c>
      <c r="I12" s="306">
        <v>9</v>
      </c>
      <c r="J12" s="37">
        <v>10</v>
      </c>
      <c r="K12" s="37">
        <v>11</v>
      </c>
      <c r="L12" s="37">
        <v>12</v>
      </c>
      <c r="M12" s="37">
        <v>13</v>
      </c>
      <c r="N12" s="306">
        <v>14</v>
      </c>
      <c r="O12" s="73">
        <v>15</v>
      </c>
      <c r="P12" s="37">
        <v>16</v>
      </c>
      <c r="Q12" s="37">
        <v>17</v>
      </c>
      <c r="R12" s="37">
        <v>18</v>
      </c>
      <c r="S12" s="37">
        <v>19</v>
      </c>
      <c r="T12" s="37">
        <v>20</v>
      </c>
      <c r="U12" s="37">
        <v>21</v>
      </c>
      <c r="V12" s="297">
        <v>22</v>
      </c>
      <c r="W12" s="297">
        <v>23</v>
      </c>
    </row>
    <row r="13" spans="1:23" s="80" customFormat="1" x14ac:dyDescent="0.25">
      <c r="A13" s="282" t="s">
        <v>325</v>
      </c>
      <c r="B13" s="283"/>
      <c r="C13" s="251"/>
      <c r="D13" s="284"/>
      <c r="E13" s="251"/>
      <c r="F13" s="285">
        <f>O13+P13+Q13</f>
        <v>0</v>
      </c>
      <c r="G13" s="302"/>
      <c r="H13" s="302"/>
      <c r="I13" s="342">
        <f>F13*30%</f>
        <v>0</v>
      </c>
      <c r="J13" s="285"/>
      <c r="K13" s="285">
        <f>I13+J13</f>
        <v>0</v>
      </c>
      <c r="L13" s="285"/>
      <c r="M13" s="285">
        <f>F13*10%</f>
        <v>0</v>
      </c>
      <c r="N13" s="285">
        <f>F13-I13-M13</f>
        <v>0</v>
      </c>
      <c r="O13" s="285"/>
      <c r="P13" s="285"/>
      <c r="Q13" s="285"/>
      <c r="R13" s="285"/>
      <c r="S13" s="285"/>
      <c r="T13" s="285"/>
      <c r="U13" s="300"/>
      <c r="V13" s="300"/>
      <c r="W13" s="285">
        <f>U13+V13</f>
        <v>0</v>
      </c>
    </row>
    <row r="14" spans="1:23" s="80" customFormat="1" x14ac:dyDescent="0.25">
      <c r="A14" s="292" t="s">
        <v>37</v>
      </c>
      <c r="B14" s="293"/>
      <c r="C14" s="290"/>
      <c r="D14" s="162"/>
      <c r="E14" s="290"/>
      <c r="F14" s="279">
        <f>O14+P14+Q14</f>
        <v>0</v>
      </c>
      <c r="G14" s="303"/>
      <c r="H14" s="303"/>
      <c r="I14" s="341"/>
      <c r="J14" s="279">
        <f>F14*30%</f>
        <v>0</v>
      </c>
      <c r="K14" s="279">
        <f>I14+J14</f>
        <v>0</v>
      </c>
      <c r="L14" s="279"/>
      <c r="M14" s="279">
        <f>F14*10%</f>
        <v>0</v>
      </c>
      <c r="N14" s="279">
        <f>F14-J14-M14</f>
        <v>0</v>
      </c>
      <c r="O14" s="279"/>
      <c r="P14" s="279"/>
      <c r="Q14" s="279"/>
      <c r="R14" s="279"/>
      <c r="S14" s="279"/>
      <c r="T14" s="279"/>
      <c r="U14" s="301"/>
      <c r="V14" s="301"/>
      <c r="W14" s="279">
        <f>U14+V14</f>
        <v>0</v>
      </c>
    </row>
    <row r="15" spans="1:23" ht="16.5" thickBot="1" x14ac:dyDescent="0.3">
      <c r="A15" s="292" t="s">
        <v>88</v>
      </c>
      <c r="B15" s="278"/>
      <c r="C15" s="144"/>
      <c r="D15" s="163"/>
      <c r="E15" s="145"/>
      <c r="F15" s="279">
        <f>O15+P15+Q15</f>
        <v>0</v>
      </c>
      <c r="G15" s="304"/>
      <c r="H15" s="304"/>
      <c r="I15" s="341"/>
      <c r="J15" s="279"/>
      <c r="K15" s="279">
        <f>I15+J15</f>
        <v>0</v>
      </c>
      <c r="L15" s="279"/>
      <c r="M15" s="279">
        <f>F15*10%</f>
        <v>0</v>
      </c>
      <c r="N15" s="279">
        <f>F15-M15</f>
        <v>0</v>
      </c>
      <c r="O15" s="279"/>
      <c r="P15" s="279"/>
      <c r="Q15" s="279"/>
      <c r="R15" s="279"/>
      <c r="S15" s="279"/>
      <c r="T15" s="279"/>
      <c r="U15" s="279"/>
      <c r="V15" s="279"/>
      <c r="W15" s="279">
        <f>U15+V15</f>
        <v>0</v>
      </c>
    </row>
    <row r="16" spans="1:23" ht="48" hidden="1" customHeight="1" thickBot="1" x14ac:dyDescent="0.3">
      <c r="A16" s="256" t="s">
        <v>280</v>
      </c>
      <c r="B16" s="257" t="s">
        <v>278</v>
      </c>
      <c r="C16" s="258"/>
      <c r="D16" s="259"/>
      <c r="E16" s="260"/>
      <c r="F16" s="260"/>
      <c r="G16" s="288"/>
      <c r="H16" s="288"/>
      <c r="I16" s="260"/>
      <c r="J16" s="260"/>
      <c r="K16" s="260"/>
      <c r="L16" s="260"/>
      <c r="M16" s="261"/>
      <c r="N16" s="288"/>
      <c r="O16" s="288"/>
      <c r="P16" s="288"/>
      <c r="Q16" s="288"/>
      <c r="R16" s="288"/>
      <c r="S16" s="288"/>
      <c r="T16" s="288"/>
      <c r="U16" s="262"/>
      <c r="V16" s="262"/>
      <c r="W16" s="262"/>
    </row>
    <row r="17" spans="1:24" ht="48" hidden="1" customHeight="1" thickBot="1" x14ac:dyDescent="0.3">
      <c r="A17" s="256" t="s">
        <v>281</v>
      </c>
      <c r="B17" s="257" t="s">
        <v>308</v>
      </c>
      <c r="C17" s="258"/>
      <c r="D17" s="259"/>
      <c r="E17" s="260"/>
      <c r="F17" s="260"/>
      <c r="G17" s="288"/>
      <c r="H17" s="288"/>
      <c r="I17" s="260"/>
      <c r="J17" s="260"/>
      <c r="K17" s="260"/>
      <c r="L17" s="260"/>
      <c r="M17" s="261"/>
      <c r="N17" s="288"/>
      <c r="O17" s="288"/>
      <c r="P17" s="288"/>
      <c r="Q17" s="288"/>
      <c r="R17" s="288"/>
      <c r="S17" s="288"/>
      <c r="T17" s="288"/>
      <c r="U17" s="262"/>
      <c r="V17" s="262"/>
      <c r="W17" s="262"/>
      <c r="X17" s="75" t="e">
        <f>#REF!/(R17+#REF!+#REF!+#REF!)</f>
        <v>#REF!</v>
      </c>
    </row>
    <row r="18" spans="1:24" ht="16.5" hidden="1" customHeight="1" thickBot="1" x14ac:dyDescent="0.3">
      <c r="A18" s="256" t="s">
        <v>282</v>
      </c>
      <c r="B18" s="257" t="s">
        <v>279</v>
      </c>
      <c r="C18" s="258"/>
      <c r="D18" s="259"/>
      <c r="E18" s="260"/>
      <c r="F18" s="260"/>
      <c r="G18" s="288"/>
      <c r="H18" s="288"/>
      <c r="I18" s="260"/>
      <c r="J18" s="260"/>
      <c r="K18" s="260"/>
      <c r="L18" s="260"/>
      <c r="M18" s="261"/>
      <c r="N18" s="288"/>
      <c r="O18" s="288"/>
      <c r="P18" s="288"/>
      <c r="Q18" s="288"/>
      <c r="R18" s="288"/>
      <c r="S18" s="288"/>
      <c r="T18" s="288"/>
      <c r="U18" s="262"/>
      <c r="V18" s="262"/>
      <c r="W18" s="260"/>
    </row>
    <row r="19" spans="1:24" ht="33" customHeight="1" thickBot="1" x14ac:dyDescent="0.3">
      <c r="A19" s="252"/>
      <c r="B19" s="253" t="s">
        <v>8</v>
      </c>
      <c r="C19" s="254"/>
      <c r="D19" s="255"/>
      <c r="E19" s="243"/>
      <c r="F19" s="243">
        <f>SUM(F13:F18)</f>
        <v>0</v>
      </c>
      <c r="G19" s="243"/>
      <c r="H19" s="243"/>
      <c r="I19" s="243">
        <f>SUM(I13:I15)</f>
        <v>0</v>
      </c>
      <c r="J19" s="243">
        <f>SUM(J13:J18)</f>
        <v>0</v>
      </c>
      <c r="K19" s="243">
        <f>I19+J19</f>
        <v>0</v>
      </c>
      <c r="L19" s="243"/>
      <c r="M19" s="243">
        <f>SUM(M13:M18)</f>
        <v>0</v>
      </c>
      <c r="N19" s="243">
        <f>SUM(N13:N18)</f>
        <v>0</v>
      </c>
      <c r="O19" s="243">
        <f>SUM(O13:O18)</f>
        <v>0</v>
      </c>
      <c r="P19" s="243">
        <f>SUM(P13:P15)</f>
        <v>0</v>
      </c>
      <c r="Q19" s="243">
        <f>SUM(Q13:Q15)</f>
        <v>0</v>
      </c>
      <c r="R19" s="243">
        <f t="shared" ref="R19:W19" si="0">SUM(R13:R15)</f>
        <v>0</v>
      </c>
      <c r="S19" s="243">
        <f t="shared" si="0"/>
        <v>0</v>
      </c>
      <c r="T19" s="243">
        <f t="shared" si="0"/>
        <v>0</v>
      </c>
      <c r="U19" s="243">
        <f t="shared" si="0"/>
        <v>0</v>
      </c>
      <c r="V19" s="243">
        <f t="shared" si="0"/>
        <v>0</v>
      </c>
      <c r="W19" s="243">
        <f t="shared" si="0"/>
        <v>0</v>
      </c>
    </row>
    <row r="20" spans="1:24" ht="16.5" thickBot="1" x14ac:dyDescent="0.3">
      <c r="A20" s="252"/>
      <c r="B20" s="253" t="s">
        <v>318</v>
      </c>
      <c r="C20" s="254"/>
      <c r="D20" s="255"/>
      <c r="E20" s="243"/>
      <c r="F20" s="243"/>
      <c r="G20" s="243"/>
      <c r="H20" s="243"/>
      <c r="I20" s="243"/>
      <c r="J20" s="243"/>
      <c r="K20" s="243"/>
      <c r="L20" s="243"/>
      <c r="M20" s="243"/>
      <c r="N20" s="243"/>
      <c r="O20" s="243"/>
      <c r="P20" s="243"/>
      <c r="Q20" s="243"/>
      <c r="R20" s="243"/>
      <c r="S20" s="243"/>
      <c r="T20" s="243"/>
      <c r="U20" s="243"/>
      <c r="V20" s="243"/>
      <c r="W20" s="243"/>
    </row>
    <row r="21" spans="1:24" x14ac:dyDescent="0.25">
      <c r="A21" s="35"/>
      <c r="C21" s="115"/>
      <c r="E21" s="9"/>
      <c r="F21" s="9"/>
      <c r="I21" s="9"/>
      <c r="N21" s="9"/>
      <c r="O21" s="75"/>
      <c r="P21" s="75"/>
      <c r="Q21" s="75"/>
    </row>
    <row r="22" spans="1:24" x14ac:dyDescent="0.25">
      <c r="A22" s="35"/>
      <c r="E22" s="75"/>
      <c r="F22" s="9"/>
      <c r="H22" s="247"/>
      <c r="I22" s="9"/>
      <c r="J22" s="9"/>
      <c r="K22" s="9"/>
      <c r="L22" s="9"/>
      <c r="M22" s="9"/>
      <c r="O22" s="75"/>
      <c r="P22" s="75"/>
      <c r="Q22" s="75"/>
      <c r="R22" s="242"/>
      <c r="S22" s="242"/>
      <c r="T22" s="242"/>
      <c r="U22" s="242"/>
      <c r="V22" s="242"/>
      <c r="W22" s="248"/>
    </row>
    <row r="23" spans="1:24" x14ac:dyDescent="0.25">
      <c r="E23" s="75"/>
      <c r="F23" s="75"/>
      <c r="H23" s="247"/>
      <c r="I23" s="75"/>
      <c r="O23" s="75"/>
      <c r="P23" s="75"/>
      <c r="Q23" s="75"/>
      <c r="R23" s="242"/>
      <c r="S23" s="242"/>
      <c r="T23" s="242"/>
      <c r="U23" s="242"/>
      <c r="V23" s="242"/>
      <c r="W23" s="248"/>
    </row>
    <row r="24" spans="1:24" ht="23.25" customHeight="1" x14ac:dyDescent="0.25">
      <c r="A24" s="265"/>
      <c r="F24" s="158"/>
      <c r="G24" s="266" t="s">
        <v>336</v>
      </c>
      <c r="H24" s="76"/>
      <c r="J24" s="267"/>
      <c r="K24" s="267"/>
      <c r="L24" s="267"/>
      <c r="O24" s="75"/>
      <c r="P24" s="76"/>
      <c r="Q24" s="158"/>
      <c r="R24" s="331" t="s">
        <v>341</v>
      </c>
      <c r="S24" s="331"/>
      <c r="T24" s="266"/>
      <c r="U24" s="75"/>
      <c r="V24" s="75"/>
      <c r="W24" s="248"/>
    </row>
    <row r="25" spans="1:24" ht="30" customHeight="1" x14ac:dyDescent="0.25">
      <c r="A25" s="265"/>
      <c r="F25" s="305"/>
      <c r="G25" s="309" t="s">
        <v>338</v>
      </c>
      <c r="H25" s="309"/>
      <c r="I25" s="309"/>
      <c r="J25" s="309"/>
      <c r="K25" s="309"/>
      <c r="L25" s="309"/>
      <c r="M25" s="309"/>
      <c r="N25" s="309"/>
      <c r="O25" s="309"/>
      <c r="P25" s="298"/>
      <c r="Q25" s="298"/>
      <c r="R25" s="80" t="s">
        <v>339</v>
      </c>
      <c r="S25" s="298"/>
      <c r="T25" s="298"/>
      <c r="U25" s="298"/>
      <c r="V25" s="79"/>
      <c r="W25" s="248"/>
    </row>
    <row r="26" spans="1:24" x14ac:dyDescent="0.25">
      <c r="F26" s="158"/>
      <c r="G26" s="265"/>
      <c r="H26" s="76"/>
      <c r="O26" s="77"/>
      <c r="P26" s="76"/>
      <c r="Q26" s="158"/>
      <c r="R26" s="265"/>
      <c r="S26" s="265"/>
      <c r="T26" s="265"/>
      <c r="U26" s="269"/>
      <c r="V26" s="269"/>
      <c r="W26" s="248"/>
    </row>
    <row r="27" spans="1:24" x14ac:dyDescent="0.25">
      <c r="F27" s="272"/>
      <c r="G27" s="308" t="s">
        <v>337</v>
      </c>
      <c r="H27" s="271"/>
      <c r="O27" s="273"/>
      <c r="P27" s="271"/>
      <c r="Q27" s="272"/>
      <c r="R27" s="270" t="s">
        <v>340</v>
      </c>
      <c r="S27" s="270"/>
      <c r="T27" s="270"/>
      <c r="U27" s="274"/>
      <c r="V27" s="274"/>
      <c r="W27" s="248"/>
    </row>
    <row r="28" spans="1:24" s="122" customFormat="1" ht="18.75" x14ac:dyDescent="0.25">
      <c r="A28" s="126"/>
      <c r="B28" s="119"/>
      <c r="C28" s="127"/>
      <c r="D28" s="168"/>
      <c r="E28" s="128"/>
      <c r="F28" s="128"/>
      <c r="G28" s="124"/>
      <c r="H28" s="124"/>
      <c r="I28" s="128"/>
      <c r="U28" s="123"/>
      <c r="V28" s="123"/>
    </row>
    <row r="29" spans="1:24" s="131" customFormat="1" ht="18.75" x14ac:dyDescent="0.25">
      <c r="A29" s="129"/>
      <c r="B29" s="119"/>
      <c r="C29" s="130"/>
      <c r="D29" s="168"/>
      <c r="G29" s="132"/>
      <c r="H29" s="132"/>
      <c r="U29" s="128"/>
      <c r="V29" s="128"/>
    </row>
    <row r="30" spans="1:24" s="131" customFormat="1" ht="18.75" x14ac:dyDescent="0.25">
      <c r="A30" s="129"/>
      <c r="B30" s="120"/>
      <c r="C30" s="130"/>
      <c r="D30" s="168"/>
      <c r="E30" s="133"/>
      <c r="F30" s="133"/>
      <c r="G30" s="132"/>
      <c r="H30" s="132"/>
      <c r="I30" s="133"/>
      <c r="U30" s="128"/>
      <c r="V30" s="128"/>
    </row>
    <row r="31" spans="1:24" s="131" customFormat="1" ht="18.75" x14ac:dyDescent="0.25">
      <c r="A31" s="129"/>
      <c r="B31" s="120"/>
      <c r="C31" s="121"/>
      <c r="D31" s="167"/>
      <c r="E31" s="125"/>
      <c r="F31" s="125"/>
      <c r="G31" s="132"/>
      <c r="H31" s="132"/>
      <c r="I31" s="125"/>
      <c r="U31" s="128"/>
      <c r="V31" s="128"/>
    </row>
    <row r="32" spans="1:24" s="131" customFormat="1" ht="18.75" x14ac:dyDescent="0.25">
      <c r="A32" s="129"/>
      <c r="B32" s="120"/>
      <c r="C32" s="121"/>
      <c r="D32" s="167"/>
      <c r="E32" s="125"/>
      <c r="F32" s="125"/>
      <c r="G32" s="132"/>
      <c r="H32" s="132"/>
      <c r="I32" s="125"/>
      <c r="U32" s="128"/>
      <c r="V32" s="128"/>
    </row>
    <row r="33" spans="1:22" s="122" customFormat="1" ht="18.75" x14ac:dyDescent="0.25">
      <c r="A33" s="126"/>
      <c r="B33" s="119"/>
      <c r="C33" s="121"/>
      <c r="D33" s="167"/>
      <c r="E33" s="125"/>
      <c r="F33" s="125"/>
      <c r="G33" s="124"/>
      <c r="H33" s="124"/>
      <c r="I33" s="125"/>
      <c r="U33" s="123"/>
      <c r="V33" s="123"/>
    </row>
    <row r="34" spans="1:22" s="122" customFormat="1" ht="18.75" x14ac:dyDescent="0.25">
      <c r="A34" s="126"/>
      <c r="B34" s="134"/>
      <c r="C34" s="121"/>
      <c r="D34" s="167"/>
      <c r="E34" s="125"/>
      <c r="F34" s="125"/>
      <c r="G34" s="124"/>
      <c r="H34" s="124"/>
      <c r="I34" s="125"/>
      <c r="U34" s="123"/>
      <c r="V34" s="123"/>
    </row>
    <row r="35" spans="1:22" s="122" customFormat="1" ht="18.75" x14ac:dyDescent="0.25">
      <c r="A35" s="126"/>
      <c r="B35" s="119"/>
      <c r="C35" s="121"/>
      <c r="D35" s="167"/>
      <c r="E35" s="125"/>
      <c r="F35" s="125"/>
      <c r="G35" s="124"/>
      <c r="H35" s="124"/>
      <c r="I35" s="125"/>
      <c r="U35" s="123"/>
      <c r="V35" s="123"/>
    </row>
    <row r="36" spans="1:22" s="122" customFormat="1" ht="18.75" x14ac:dyDescent="0.25">
      <c r="A36" s="126"/>
      <c r="C36" s="121"/>
      <c r="D36" s="167"/>
      <c r="E36" s="125"/>
      <c r="F36" s="125"/>
      <c r="G36" s="124"/>
      <c r="H36" s="124"/>
      <c r="I36" s="125"/>
      <c r="U36" s="123"/>
      <c r="V36" s="123"/>
    </row>
    <row r="37" spans="1:22" s="122" customFormat="1" ht="18.75" x14ac:dyDescent="0.25">
      <c r="A37" s="126"/>
      <c r="C37" s="121"/>
      <c r="D37" s="167"/>
      <c r="E37" s="125"/>
      <c r="F37" s="125"/>
      <c r="G37" s="124"/>
      <c r="H37" s="124"/>
      <c r="I37" s="125"/>
      <c r="O37" s="123"/>
      <c r="P37" s="123"/>
      <c r="Q37" s="123"/>
      <c r="U37" s="123"/>
      <c r="V37" s="123"/>
    </row>
  </sheetData>
  <mergeCells count="16">
    <mergeCell ref="G10:H10"/>
    <mergeCell ref="G25:O25"/>
    <mergeCell ref="I10:L10"/>
    <mergeCell ref="M10:M11"/>
    <mergeCell ref="N10:N11"/>
    <mergeCell ref="A8:W8"/>
    <mergeCell ref="O10:Q10"/>
    <mergeCell ref="R10:T10"/>
    <mergeCell ref="U10:W10"/>
    <mergeCell ref="A10:A11"/>
    <mergeCell ref="B10:B11"/>
    <mergeCell ref="C10:C11"/>
    <mergeCell ref="D10:D11"/>
    <mergeCell ref="E10:E11"/>
    <mergeCell ref="F10:F11"/>
    <mergeCell ref="R24:S24"/>
  </mergeCells>
  <printOptions horizontalCentered="1"/>
  <pageMargins left="0.19685039370078741" right="0.19685039370078741" top="0.78740157480314965" bottom="0.39370078740157483" header="0.11811023622047245" footer="0.11811023622047245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topLeftCell="A6" zoomScaleNormal="63" zoomScaleSheetLayoutView="100" workbookViewId="0">
      <pane ySplit="7" topLeftCell="A13" activePane="bottomLeft" state="frozen"/>
      <selection activeCell="A6" sqref="A6"/>
      <selection pane="bottomLeft" activeCell="O20" sqref="O20"/>
    </sheetView>
  </sheetViews>
  <sheetFormatPr defaultColWidth="9.140625" defaultRowHeight="15.75" outlineLevelCol="1" x14ac:dyDescent="0.25"/>
  <cols>
    <col min="1" max="1" width="8.42578125" style="50" customWidth="1"/>
    <col min="2" max="2" width="30.5703125" style="75" customWidth="1"/>
    <col min="3" max="3" width="12.42578125" style="76" hidden="1" customWidth="1"/>
    <col min="4" max="4" width="15.85546875" style="158" hidden="1" customWidth="1"/>
    <col min="5" max="5" width="16.42578125" style="77" hidden="1" customWidth="1"/>
    <col min="6" max="6" width="16.7109375" style="77" customWidth="1"/>
    <col min="7" max="7" width="23.7109375" style="77" hidden="1" customWidth="1"/>
    <col min="8" max="8" width="16.7109375" style="75" customWidth="1"/>
    <col min="9" max="9" width="18.5703125" style="75" hidden="1" customWidth="1"/>
    <col min="10" max="10" width="24" style="75" hidden="1" customWidth="1"/>
    <col min="11" max="11" width="16.7109375" style="75" customWidth="1"/>
    <col min="12" max="12" width="16.7109375" style="9" customWidth="1"/>
    <col min="13" max="13" width="16.7109375" style="78" customWidth="1" outlineLevel="1"/>
    <col min="14" max="14" width="15.5703125" style="78" customWidth="1" outlineLevel="1"/>
    <col min="15" max="15" width="17.28515625" style="75" customWidth="1"/>
    <col min="16" max="17" width="15.5703125" style="9" hidden="1" customWidth="1"/>
    <col min="18" max="21" width="12" style="75" hidden="1" customWidth="1"/>
    <col min="22" max="22" width="19.7109375" style="75" hidden="1" customWidth="1"/>
    <col min="23" max="23" width="14.5703125" style="191" hidden="1" customWidth="1"/>
    <col min="24" max="25" width="9.140625" style="184" hidden="1" customWidth="1"/>
    <col min="26" max="26" width="26.42578125" style="75" hidden="1" customWidth="1" outlineLevel="1"/>
    <col min="27" max="27" width="24.140625" style="75" hidden="1" customWidth="1" outlineLevel="1"/>
    <col min="28" max="28" width="9.140625" style="75" collapsed="1"/>
    <col min="29" max="16384" width="9.140625" style="75"/>
  </cols>
  <sheetData>
    <row r="1" spans="1:27" x14ac:dyDescent="0.25">
      <c r="A1" s="30" t="s">
        <v>0</v>
      </c>
    </row>
    <row r="2" spans="1:27" x14ac:dyDescent="0.25">
      <c r="C2" s="31" t="s">
        <v>1</v>
      </c>
      <c r="D2" s="159" t="s">
        <v>1</v>
      </c>
      <c r="E2" s="32" t="s">
        <v>1</v>
      </c>
      <c r="F2" s="32" t="s">
        <v>1</v>
      </c>
      <c r="G2" s="32"/>
    </row>
    <row r="3" spans="1:27" x14ac:dyDescent="0.25">
      <c r="C3" s="31" t="s">
        <v>2</v>
      </c>
      <c r="D3" s="159" t="s">
        <v>2</v>
      </c>
      <c r="E3" s="32" t="s">
        <v>2</v>
      </c>
      <c r="F3" s="32" t="s">
        <v>2</v>
      </c>
      <c r="G3" s="32"/>
    </row>
    <row r="4" spans="1:27" x14ac:dyDescent="0.25">
      <c r="C4" s="31"/>
      <c r="D4" s="159"/>
      <c r="E4" s="32"/>
      <c r="F4" s="32"/>
      <c r="G4" s="32"/>
    </row>
    <row r="5" spans="1:27" ht="24" customHeight="1" x14ac:dyDescent="0.25">
      <c r="A5" s="332" t="s">
        <v>29</v>
      </c>
      <c r="B5" s="332"/>
      <c r="C5" s="332"/>
      <c r="D5" s="332"/>
      <c r="E5" s="332"/>
      <c r="F5" s="332"/>
      <c r="G5" s="170"/>
      <c r="H5" s="79"/>
      <c r="I5" s="79"/>
      <c r="J5" s="79"/>
      <c r="K5" s="79"/>
    </row>
    <row r="6" spans="1:27" ht="18.75" x14ac:dyDescent="0.25">
      <c r="A6" s="33"/>
      <c r="B6" s="33"/>
      <c r="H6" s="80" t="s">
        <v>329</v>
      </c>
      <c r="I6" s="80"/>
      <c r="J6" s="80"/>
      <c r="K6" s="80"/>
      <c r="L6" s="33"/>
      <c r="M6" s="295"/>
      <c r="N6" s="296"/>
      <c r="O6" s="77"/>
      <c r="P6" s="77"/>
      <c r="Q6" s="75"/>
      <c r="Z6" s="190">
        <v>0.10029883632</v>
      </c>
      <c r="AA6" s="190">
        <f>1-Z6-0.1</f>
        <v>0.79970116367999999</v>
      </c>
    </row>
    <row r="7" spans="1:27" ht="19.5" customHeight="1" x14ac:dyDescent="0.25">
      <c r="A7" s="34"/>
      <c r="B7" s="34"/>
      <c r="C7" s="31"/>
      <c r="D7" s="159"/>
      <c r="E7" s="179"/>
      <c r="F7" s="178"/>
      <c r="G7" s="178"/>
    </row>
    <row r="8" spans="1:27" ht="19.5" customHeight="1" x14ac:dyDescent="0.25">
      <c r="A8" s="199"/>
      <c r="B8" s="173"/>
      <c r="C8" s="173"/>
      <c r="D8" s="173"/>
      <c r="E8" s="173"/>
      <c r="F8" s="173"/>
      <c r="G8" s="173"/>
      <c r="H8" s="310" t="s">
        <v>327</v>
      </c>
      <c r="I8" s="310"/>
      <c r="J8" s="310"/>
      <c r="K8" s="310"/>
      <c r="L8" s="310"/>
      <c r="M8" s="173"/>
      <c r="N8" s="173"/>
      <c r="O8" s="173"/>
      <c r="P8" s="173"/>
      <c r="Q8" s="173"/>
      <c r="R8" s="173"/>
      <c r="S8" s="173"/>
      <c r="T8" s="173"/>
      <c r="U8" s="173"/>
      <c r="V8" s="173"/>
    </row>
    <row r="9" spans="1:27" ht="16.5" thickBot="1" x14ac:dyDescent="0.3">
      <c r="A9" s="35"/>
    </row>
    <row r="10" spans="1:27" s="80" customFormat="1" ht="63" customHeight="1" thickBot="1" x14ac:dyDescent="0.3">
      <c r="A10" s="327" t="s">
        <v>326</v>
      </c>
      <c r="B10" s="311" t="s">
        <v>4</v>
      </c>
      <c r="C10" s="311" t="s">
        <v>284</v>
      </c>
      <c r="D10" s="329" t="s">
        <v>286</v>
      </c>
      <c r="E10" s="311" t="s">
        <v>285</v>
      </c>
      <c r="F10" s="311" t="s">
        <v>319</v>
      </c>
      <c r="G10" s="176"/>
      <c r="H10" s="317" t="s">
        <v>320</v>
      </c>
      <c r="I10" s="246"/>
      <c r="J10" s="311" t="s">
        <v>321</v>
      </c>
      <c r="K10" s="311" t="s">
        <v>322</v>
      </c>
      <c r="L10" s="294" t="s">
        <v>323</v>
      </c>
      <c r="M10" s="325" t="s">
        <v>30</v>
      </c>
      <c r="N10" s="333"/>
      <c r="O10" s="289" t="s">
        <v>324</v>
      </c>
      <c r="P10" s="322" t="s">
        <v>31</v>
      </c>
      <c r="Q10" s="323"/>
      <c r="R10" s="323"/>
      <c r="S10" s="323"/>
      <c r="T10" s="323"/>
      <c r="U10" s="323"/>
      <c r="V10" s="324"/>
      <c r="W10" s="194"/>
      <c r="X10" s="185"/>
      <c r="Y10" s="185"/>
    </row>
    <row r="11" spans="1:27" s="80" customFormat="1" ht="66.75" customHeight="1" thickBot="1" x14ac:dyDescent="0.3">
      <c r="A11" s="328"/>
      <c r="B11" s="312"/>
      <c r="C11" s="312"/>
      <c r="D11" s="330"/>
      <c r="E11" s="312"/>
      <c r="F11" s="312"/>
      <c r="G11" s="171"/>
      <c r="H11" s="334"/>
      <c r="I11" s="222"/>
      <c r="J11" s="312"/>
      <c r="K11" s="312"/>
      <c r="L11" s="275" t="s">
        <v>330</v>
      </c>
      <c r="M11" s="250" t="s">
        <v>302</v>
      </c>
      <c r="N11" s="250" t="s">
        <v>303</v>
      </c>
      <c r="O11" s="275" t="s">
        <v>330</v>
      </c>
      <c r="P11" s="249" t="s">
        <v>9</v>
      </c>
      <c r="Q11" s="249" t="s">
        <v>9</v>
      </c>
      <c r="R11" s="19" t="s">
        <v>9</v>
      </c>
      <c r="S11" s="19" t="s">
        <v>9</v>
      </c>
      <c r="T11" s="19" t="s">
        <v>9</v>
      </c>
      <c r="U11" s="19" t="s">
        <v>9</v>
      </c>
      <c r="V11" s="171" t="s">
        <v>317</v>
      </c>
      <c r="W11" s="194"/>
      <c r="X11" s="185"/>
      <c r="Y11" s="185"/>
    </row>
    <row r="12" spans="1:27" s="80" customFormat="1" ht="16.5" thickBot="1" x14ac:dyDescent="0.3">
      <c r="A12" s="10">
        <v>1</v>
      </c>
      <c r="B12" s="37">
        <v>2</v>
      </c>
      <c r="C12" s="297">
        <v>3</v>
      </c>
      <c r="D12" s="297">
        <v>4</v>
      </c>
      <c r="E12" s="297">
        <v>5</v>
      </c>
      <c r="F12" s="37">
        <v>3</v>
      </c>
      <c r="G12" s="171"/>
      <c r="H12" s="37">
        <v>4</v>
      </c>
      <c r="I12" s="177"/>
      <c r="J12" s="37">
        <v>9</v>
      </c>
      <c r="K12" s="171">
        <v>5</v>
      </c>
      <c r="L12" s="73">
        <v>6</v>
      </c>
      <c r="M12" s="37">
        <v>7</v>
      </c>
      <c r="N12" s="37">
        <v>8</v>
      </c>
      <c r="O12" s="37">
        <v>9</v>
      </c>
      <c r="P12" s="37">
        <v>20</v>
      </c>
      <c r="Q12" s="171">
        <v>21</v>
      </c>
      <c r="R12" s="171">
        <v>23</v>
      </c>
      <c r="S12" s="171">
        <v>24</v>
      </c>
      <c r="T12" s="171">
        <v>25</v>
      </c>
      <c r="U12" s="37">
        <v>26</v>
      </c>
      <c r="V12" s="171">
        <v>22</v>
      </c>
      <c r="W12" s="194"/>
      <c r="X12" s="185"/>
      <c r="Y12" s="185"/>
    </row>
    <row r="13" spans="1:27" s="80" customFormat="1" x14ac:dyDescent="0.25">
      <c r="A13" s="282" t="s">
        <v>325</v>
      </c>
      <c r="B13" s="283"/>
      <c r="C13" s="251"/>
      <c r="D13" s="284"/>
      <c r="E13" s="251"/>
      <c r="F13" s="285"/>
      <c r="G13" s="276"/>
      <c r="H13" s="277"/>
      <c r="I13" s="276"/>
      <c r="J13" s="277"/>
      <c r="K13" s="285"/>
      <c r="L13" s="285"/>
      <c r="M13" s="286"/>
      <c r="N13" s="286"/>
      <c r="O13" s="285"/>
      <c r="P13" s="276"/>
      <c r="Q13" s="276"/>
      <c r="R13" s="251"/>
      <c r="S13" s="251"/>
      <c r="T13" s="251"/>
      <c r="U13" s="251"/>
      <c r="V13" s="282"/>
      <c r="W13" s="194"/>
      <c r="X13" s="185"/>
      <c r="Y13" s="185"/>
    </row>
    <row r="14" spans="1:27" s="80" customFormat="1" x14ac:dyDescent="0.25">
      <c r="A14" s="292" t="s">
        <v>37</v>
      </c>
      <c r="B14" s="293"/>
      <c r="C14" s="290"/>
      <c r="D14" s="162"/>
      <c r="E14" s="290"/>
      <c r="F14" s="279"/>
      <c r="G14" s="24"/>
      <c r="H14" s="145"/>
      <c r="I14" s="24"/>
      <c r="J14" s="145"/>
      <c r="K14" s="145"/>
      <c r="L14" s="279"/>
      <c r="M14" s="291"/>
      <c r="N14" s="291"/>
      <c r="O14" s="145"/>
      <c r="P14" s="24"/>
      <c r="Q14" s="24"/>
      <c r="R14" s="290"/>
      <c r="S14" s="290"/>
      <c r="T14" s="290"/>
      <c r="U14" s="290"/>
      <c r="V14" s="292"/>
      <c r="W14" s="194"/>
      <c r="X14" s="185"/>
      <c r="Y14" s="185"/>
    </row>
    <row r="15" spans="1:27" ht="16.5" thickBot="1" x14ac:dyDescent="0.3">
      <c r="A15" s="292" t="s">
        <v>88</v>
      </c>
      <c r="B15" s="278"/>
      <c r="C15" s="144"/>
      <c r="D15" s="163"/>
      <c r="E15" s="145"/>
      <c r="F15" s="279"/>
      <c r="G15" s="145"/>
      <c r="H15" s="145"/>
      <c r="I15" s="145"/>
      <c r="J15" s="145"/>
      <c r="K15" s="145"/>
      <c r="L15" s="279"/>
      <c r="M15" s="287"/>
      <c r="N15" s="287"/>
      <c r="O15" s="145"/>
      <c r="P15" s="280"/>
      <c r="Q15" s="280"/>
      <c r="R15" s="281"/>
      <c r="S15" s="281"/>
      <c r="T15" s="281"/>
      <c r="U15" s="281"/>
      <c r="V15" s="280"/>
      <c r="W15" s="196"/>
      <c r="X15" s="185"/>
      <c r="Y15" s="185"/>
    </row>
    <row r="16" spans="1:27" ht="48" hidden="1" customHeight="1" thickBot="1" x14ac:dyDescent="0.3">
      <c r="A16" s="256" t="s">
        <v>280</v>
      </c>
      <c r="B16" s="257" t="s">
        <v>278</v>
      </c>
      <c r="C16" s="258"/>
      <c r="D16" s="259"/>
      <c r="E16" s="260"/>
      <c r="F16" s="260"/>
      <c r="G16" s="260"/>
      <c r="H16" s="260"/>
      <c r="I16" s="260"/>
      <c r="J16" s="261"/>
      <c r="K16" s="288"/>
      <c r="L16" s="288"/>
      <c r="M16" s="288"/>
      <c r="N16" s="288"/>
      <c r="O16" s="288"/>
      <c r="P16" s="262"/>
      <c r="Q16" s="262"/>
      <c r="R16" s="263"/>
      <c r="S16" s="263"/>
      <c r="T16" s="263"/>
      <c r="U16" s="263"/>
      <c r="V16" s="262"/>
      <c r="W16" s="196">
        <f>F16-H16-K16</f>
        <v>0</v>
      </c>
      <c r="Y16" s="185">
        <f>J16-V16</f>
        <v>0</v>
      </c>
      <c r="Z16" s="75" t="e">
        <f>#REF!/(#REF!+#REF!+#REF!)</f>
        <v>#REF!</v>
      </c>
      <c r="AA16" s="75" t="e">
        <f>#REF!/(#REF!+#REF!+#REF!)</f>
        <v>#REF!</v>
      </c>
    </row>
    <row r="17" spans="1:28" ht="48" hidden="1" customHeight="1" thickBot="1" x14ac:dyDescent="0.3">
      <c r="A17" s="256" t="s">
        <v>281</v>
      </c>
      <c r="B17" s="257" t="s">
        <v>308</v>
      </c>
      <c r="C17" s="258"/>
      <c r="D17" s="259"/>
      <c r="E17" s="260"/>
      <c r="F17" s="260"/>
      <c r="G17" s="260"/>
      <c r="H17" s="260"/>
      <c r="I17" s="260"/>
      <c r="J17" s="261"/>
      <c r="K17" s="288"/>
      <c r="L17" s="288"/>
      <c r="M17" s="288"/>
      <c r="N17" s="288"/>
      <c r="O17" s="288"/>
      <c r="P17" s="262"/>
      <c r="Q17" s="262"/>
      <c r="R17" s="263"/>
      <c r="S17" s="263"/>
      <c r="T17" s="263"/>
      <c r="U17" s="263"/>
      <c r="V17" s="262"/>
      <c r="W17" s="196">
        <f>F17-H17-K17</f>
        <v>0</v>
      </c>
      <c r="Y17" s="185">
        <f>J17-V17</f>
        <v>0</v>
      </c>
      <c r="Z17" s="75" t="e">
        <f>O17/(O17+#REF!+#REF!+#REF!)</f>
        <v>#REF!</v>
      </c>
      <c r="AA17" s="75" t="e">
        <f>#REF!/(O17+#REF!+#REF!+#REF!)</f>
        <v>#REF!</v>
      </c>
      <c r="AB17" s="75" t="e">
        <f>#REF!/(O17+#REF!+#REF!+#REF!)</f>
        <v>#REF!</v>
      </c>
    </row>
    <row r="18" spans="1:28" ht="16.5" hidden="1" customHeight="1" thickBot="1" x14ac:dyDescent="0.3">
      <c r="A18" s="256" t="s">
        <v>282</v>
      </c>
      <c r="B18" s="257" t="s">
        <v>279</v>
      </c>
      <c r="C18" s="258"/>
      <c r="D18" s="259"/>
      <c r="E18" s="260"/>
      <c r="F18" s="260"/>
      <c r="G18" s="260"/>
      <c r="H18" s="260"/>
      <c r="I18" s="260"/>
      <c r="J18" s="261"/>
      <c r="K18" s="288"/>
      <c r="L18" s="288"/>
      <c r="M18" s="288"/>
      <c r="N18" s="288"/>
      <c r="O18" s="288"/>
      <c r="P18" s="262"/>
      <c r="Q18" s="262"/>
      <c r="R18" s="263"/>
      <c r="S18" s="263"/>
      <c r="T18" s="263"/>
      <c r="U18" s="263"/>
      <c r="V18" s="260"/>
      <c r="W18" s="196">
        <f>F18-H18-K18</f>
        <v>0</v>
      </c>
      <c r="Y18" s="185">
        <f>J18-V18</f>
        <v>0</v>
      </c>
    </row>
    <row r="19" spans="1:28" ht="33" customHeight="1" thickBot="1" x14ac:dyDescent="0.3">
      <c r="A19" s="252"/>
      <c r="B19" s="253" t="s">
        <v>8</v>
      </c>
      <c r="C19" s="254"/>
      <c r="D19" s="255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28" t="e">
        <f>#REF!+W16+W17+W18</f>
        <v>#REF!</v>
      </c>
    </row>
    <row r="20" spans="1:28" ht="16.5" thickBot="1" x14ac:dyDescent="0.3">
      <c r="A20" s="252"/>
      <c r="B20" s="253" t="s">
        <v>318</v>
      </c>
      <c r="C20" s="254"/>
      <c r="D20" s="255"/>
      <c r="E20" s="243"/>
      <c r="F20" s="243"/>
      <c r="G20" s="243"/>
      <c r="H20" s="243"/>
      <c r="I20" s="243"/>
      <c r="J20" s="243"/>
      <c r="K20" s="243"/>
      <c r="L20" s="243"/>
      <c r="M20" s="243"/>
      <c r="N20" s="243"/>
      <c r="O20" s="243"/>
      <c r="P20" s="243"/>
      <c r="Q20" s="243"/>
      <c r="R20" s="243"/>
      <c r="S20" s="243"/>
      <c r="T20" s="243"/>
      <c r="U20" s="243"/>
      <c r="V20" s="243"/>
      <c r="W20" s="264"/>
    </row>
    <row r="21" spans="1:28" x14ac:dyDescent="0.25">
      <c r="A21" s="35"/>
      <c r="C21" s="115"/>
      <c r="E21" s="9"/>
      <c r="F21" s="9"/>
      <c r="G21" s="9"/>
      <c r="K21" s="9"/>
      <c r="L21" s="75"/>
    </row>
    <row r="22" spans="1:28" x14ac:dyDescent="0.25">
      <c r="A22" s="35"/>
      <c r="E22" s="75"/>
      <c r="F22" s="9"/>
      <c r="G22" s="9"/>
      <c r="H22" s="9"/>
      <c r="J22" s="9"/>
      <c r="L22" s="75"/>
      <c r="N22" s="247"/>
      <c r="O22" s="242"/>
      <c r="P22" s="242"/>
      <c r="Q22" s="242"/>
      <c r="R22" s="248"/>
      <c r="S22" s="248"/>
      <c r="T22" s="248"/>
      <c r="U22" s="248"/>
      <c r="V22" s="248"/>
    </row>
    <row r="23" spans="1:28" x14ac:dyDescent="0.25">
      <c r="E23" s="75"/>
      <c r="F23" s="75"/>
      <c r="G23" s="75"/>
      <c r="L23" s="75"/>
      <c r="N23" s="247"/>
      <c r="O23" s="242"/>
      <c r="P23" s="242"/>
      <c r="Q23" s="242"/>
      <c r="R23" s="248"/>
      <c r="S23" s="248"/>
      <c r="T23" s="248"/>
      <c r="U23" s="248"/>
      <c r="V23" s="248"/>
    </row>
    <row r="24" spans="1:28" ht="23.25" customHeight="1" x14ac:dyDescent="0.25">
      <c r="A24" s="265"/>
      <c r="B24" s="266" t="s">
        <v>26</v>
      </c>
      <c r="E24" s="75"/>
      <c r="F24" s="75"/>
      <c r="G24" s="75" t="s">
        <v>315</v>
      </c>
      <c r="H24" s="267"/>
      <c r="I24" s="268">
        <f>H24/1000</f>
        <v>0</v>
      </c>
      <c r="L24" s="266" t="s">
        <v>28</v>
      </c>
      <c r="M24" s="76"/>
      <c r="N24" s="158"/>
      <c r="P24" s="75"/>
      <c r="Q24" s="75" t="s">
        <v>315</v>
      </c>
      <c r="R24" s="267"/>
      <c r="S24" s="248"/>
      <c r="T24" s="248"/>
      <c r="U24" s="248"/>
      <c r="V24" s="248"/>
    </row>
    <row r="25" spans="1:28" ht="21.6" customHeight="1" x14ac:dyDescent="0.25">
      <c r="A25" s="265"/>
      <c r="B25" s="309" t="s">
        <v>328</v>
      </c>
      <c r="C25" s="309"/>
      <c r="D25" s="309"/>
      <c r="E25" s="309"/>
      <c r="G25" s="79" t="s">
        <v>314</v>
      </c>
      <c r="H25" s="267"/>
      <c r="I25" s="268">
        <f>H25/1000</f>
        <v>0</v>
      </c>
      <c r="J25" s="198"/>
      <c r="L25" s="309" t="s">
        <v>331</v>
      </c>
      <c r="M25" s="309"/>
      <c r="N25" s="309"/>
      <c r="O25" s="309"/>
      <c r="P25" s="77"/>
      <c r="Q25" s="79" t="s">
        <v>314</v>
      </c>
      <c r="R25" s="267"/>
      <c r="S25" s="248"/>
      <c r="T25" s="248"/>
      <c r="U25" s="248"/>
      <c r="V25" s="248"/>
    </row>
    <row r="26" spans="1:28" x14ac:dyDescent="0.25">
      <c r="B26" s="265"/>
      <c r="F26" s="75"/>
      <c r="G26" s="269" t="e">
        <f>#REF!</f>
        <v>#REF!</v>
      </c>
      <c r="L26" s="265"/>
      <c r="M26" s="76"/>
      <c r="N26" s="158"/>
      <c r="O26" s="77"/>
      <c r="P26" s="75"/>
      <c r="Q26" s="269" t="e">
        <f>#REF!</f>
        <v>#REF!</v>
      </c>
      <c r="S26" s="248"/>
      <c r="T26" s="248"/>
      <c r="U26" s="248"/>
      <c r="V26" s="248"/>
    </row>
    <row r="27" spans="1:28" x14ac:dyDescent="0.25">
      <c r="B27" s="270" t="s">
        <v>316</v>
      </c>
      <c r="C27" s="271"/>
      <c r="D27" s="272"/>
      <c r="E27" s="273"/>
      <c r="F27" s="273"/>
      <c r="G27" s="274" t="e">
        <f>#REF!-G26</f>
        <v>#REF!</v>
      </c>
      <c r="L27" s="270" t="s">
        <v>332</v>
      </c>
      <c r="M27" s="271"/>
      <c r="N27" s="272"/>
      <c r="O27" s="273"/>
      <c r="P27" s="273"/>
      <c r="Q27" s="274" t="e">
        <f>#REF!-Q26</f>
        <v>#REF!</v>
      </c>
      <c r="S27" s="248"/>
      <c r="T27" s="248"/>
      <c r="U27" s="248"/>
      <c r="V27" s="248"/>
    </row>
    <row r="28" spans="1:28" s="122" customFormat="1" ht="18.75" x14ac:dyDescent="0.25">
      <c r="A28" s="126"/>
      <c r="B28" s="119"/>
      <c r="C28" s="127"/>
      <c r="D28" s="168"/>
      <c r="E28" s="128"/>
      <c r="F28" s="128"/>
      <c r="G28" s="128"/>
      <c r="M28" s="124"/>
      <c r="N28" s="124"/>
      <c r="P28" s="123"/>
      <c r="Q28" s="123"/>
      <c r="W28" s="192"/>
      <c r="X28" s="187"/>
      <c r="Y28" s="187"/>
    </row>
    <row r="29" spans="1:28" s="131" customFormat="1" ht="18.75" x14ac:dyDescent="0.25">
      <c r="A29" s="129"/>
      <c r="B29" s="119"/>
      <c r="C29" s="130"/>
      <c r="D29" s="168"/>
      <c r="M29" s="132"/>
      <c r="N29" s="132"/>
      <c r="P29" s="128"/>
      <c r="Q29" s="128"/>
      <c r="W29" s="193"/>
      <c r="X29" s="188"/>
      <c r="Y29" s="188"/>
    </row>
    <row r="30" spans="1:28" s="131" customFormat="1" ht="18.75" x14ac:dyDescent="0.25">
      <c r="A30" s="129"/>
      <c r="B30" s="120"/>
      <c r="C30" s="130"/>
      <c r="D30" s="168"/>
      <c r="E30" s="133"/>
      <c r="F30" s="133"/>
      <c r="G30" s="133"/>
      <c r="M30" s="132"/>
      <c r="N30" s="132"/>
      <c r="P30" s="128"/>
      <c r="Q30" s="128"/>
      <c r="W30" s="193"/>
      <c r="X30" s="188"/>
      <c r="Y30" s="188"/>
    </row>
    <row r="31" spans="1:28" s="131" customFormat="1" ht="18.75" x14ac:dyDescent="0.25">
      <c r="A31" s="129"/>
      <c r="B31" s="120"/>
      <c r="C31" s="121"/>
      <c r="D31" s="167"/>
      <c r="E31" s="125"/>
      <c r="F31" s="125"/>
      <c r="G31" s="125"/>
      <c r="M31" s="132"/>
      <c r="N31" s="132"/>
      <c r="P31" s="128"/>
      <c r="Q31" s="128"/>
      <c r="W31" s="193"/>
      <c r="X31" s="188"/>
      <c r="Y31" s="188"/>
    </row>
    <row r="32" spans="1:28" s="131" customFormat="1" ht="18.75" x14ac:dyDescent="0.25">
      <c r="A32" s="129"/>
      <c r="B32" s="120"/>
      <c r="C32" s="121"/>
      <c r="D32" s="167"/>
      <c r="E32" s="125"/>
      <c r="F32" s="125"/>
      <c r="G32" s="125"/>
      <c r="M32" s="132"/>
      <c r="N32" s="132"/>
      <c r="P32" s="128"/>
      <c r="Q32" s="128"/>
      <c r="W32" s="193"/>
      <c r="X32" s="188"/>
      <c r="Y32" s="188"/>
    </row>
    <row r="33" spans="1:25" s="122" customFormat="1" ht="18.75" x14ac:dyDescent="0.25">
      <c r="A33" s="126"/>
      <c r="B33" s="119"/>
      <c r="C33" s="121"/>
      <c r="D33" s="167"/>
      <c r="E33" s="125"/>
      <c r="F33" s="125"/>
      <c r="G33" s="125"/>
      <c r="M33" s="124"/>
      <c r="N33" s="124"/>
      <c r="P33" s="123"/>
      <c r="Q33" s="123"/>
      <c r="W33" s="192"/>
      <c r="X33" s="187"/>
      <c r="Y33" s="187"/>
    </row>
    <row r="34" spans="1:25" s="122" customFormat="1" ht="18.75" x14ac:dyDescent="0.25">
      <c r="A34" s="126"/>
      <c r="B34" s="134"/>
      <c r="C34" s="121"/>
      <c r="D34" s="167"/>
      <c r="E34" s="125"/>
      <c r="F34" s="125"/>
      <c r="G34" s="125"/>
      <c r="M34" s="124"/>
      <c r="N34" s="124"/>
      <c r="P34" s="123"/>
      <c r="Q34" s="123"/>
      <c r="W34" s="192"/>
      <c r="X34" s="187"/>
      <c r="Y34" s="187"/>
    </row>
    <row r="35" spans="1:25" s="122" customFormat="1" ht="18.75" x14ac:dyDescent="0.25">
      <c r="A35" s="126"/>
      <c r="B35" s="119"/>
      <c r="C35" s="121"/>
      <c r="D35" s="167"/>
      <c r="E35" s="125"/>
      <c r="F35" s="125"/>
      <c r="G35" s="125"/>
      <c r="M35" s="124"/>
      <c r="N35" s="124"/>
      <c r="P35" s="123"/>
      <c r="Q35" s="123"/>
      <c r="W35" s="192"/>
      <c r="X35" s="187"/>
      <c r="Y35" s="187"/>
    </row>
    <row r="36" spans="1:25" s="122" customFormat="1" ht="18.75" x14ac:dyDescent="0.25">
      <c r="A36" s="126"/>
      <c r="C36" s="121"/>
      <c r="D36" s="167"/>
      <c r="E36" s="125"/>
      <c r="F36" s="125"/>
      <c r="G36" s="125"/>
      <c r="M36" s="124"/>
      <c r="N36" s="124"/>
      <c r="P36" s="123"/>
      <c r="Q36" s="123"/>
      <c r="W36" s="192"/>
      <c r="X36" s="187"/>
      <c r="Y36" s="187"/>
    </row>
    <row r="37" spans="1:25" s="122" customFormat="1" ht="18.75" x14ac:dyDescent="0.25">
      <c r="A37" s="126"/>
      <c r="C37" s="121"/>
      <c r="D37" s="167"/>
      <c r="E37" s="125"/>
      <c r="F37" s="125"/>
      <c r="G37" s="125"/>
      <c r="L37" s="123"/>
      <c r="M37" s="124"/>
      <c r="N37" s="124"/>
      <c r="P37" s="123"/>
      <c r="Q37" s="123"/>
      <c r="W37" s="192"/>
      <c r="X37" s="187"/>
      <c r="Y37" s="187"/>
    </row>
  </sheetData>
  <mergeCells count="15">
    <mergeCell ref="P10:V10"/>
    <mergeCell ref="J10:J11"/>
    <mergeCell ref="K10:K11"/>
    <mergeCell ref="M10:N10"/>
    <mergeCell ref="H10:H11"/>
    <mergeCell ref="A5:F5"/>
    <mergeCell ref="B25:E25"/>
    <mergeCell ref="L25:O25"/>
    <mergeCell ref="A10:A11"/>
    <mergeCell ref="F10:F11"/>
    <mergeCell ref="E10:E11"/>
    <mergeCell ref="D10:D11"/>
    <mergeCell ref="C10:C11"/>
    <mergeCell ref="B10:B11"/>
    <mergeCell ref="H8:L8"/>
  </mergeCells>
  <printOptions horizontalCentered="1"/>
  <pageMargins left="0.19685039370078741" right="0.19685039370078741" top="0.78740157480314965" bottom="0.39370078740157483" header="0.11811023622047245" footer="0.11811023622047245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33"/>
  <sheetViews>
    <sheetView view="pageBreakPreview" topLeftCell="D6" zoomScale="60" zoomScaleNormal="63" workbookViewId="0">
      <pane ySplit="7" topLeftCell="A199" activePane="bottomLeft" state="frozen"/>
      <selection activeCell="A6" sqref="A6"/>
      <selection pane="bottomLeft" activeCell="J221" sqref="J221"/>
    </sheetView>
  </sheetViews>
  <sheetFormatPr defaultColWidth="9.140625" defaultRowHeight="15.75" outlineLevelCol="1" x14ac:dyDescent="0.25"/>
  <cols>
    <col min="1" max="1" width="15.140625" style="50" customWidth="1"/>
    <col min="2" max="2" width="54.28515625" style="75" customWidth="1"/>
    <col min="3" max="3" width="12.42578125" style="76" customWidth="1"/>
    <col min="4" max="4" width="15.85546875" style="158" customWidth="1"/>
    <col min="5" max="5" width="16.42578125" style="77" customWidth="1"/>
    <col min="6" max="6" width="23.7109375" style="77" customWidth="1"/>
    <col min="7" max="7" width="17.28515625" style="75" customWidth="1"/>
    <col min="8" max="8" width="14.42578125" style="75" hidden="1" customWidth="1"/>
    <col min="9" max="9" width="18.5703125" style="75" customWidth="1"/>
    <col min="10" max="11" width="24" style="75" customWidth="1"/>
    <col min="12" max="12" width="17" style="9" bestFit="1" customWidth="1"/>
    <col min="13" max="14" width="15.5703125" style="9" bestFit="1" customWidth="1"/>
    <col min="15" max="15" width="22" style="78" bestFit="1" customWidth="1" outlineLevel="1"/>
    <col min="16" max="16" width="13.28515625" style="78" bestFit="1" customWidth="1" outlineLevel="1"/>
    <col min="17" max="17" width="15.5703125" style="75" customWidth="1"/>
    <col min="18" max="18" width="17" style="75" bestFit="1" customWidth="1"/>
    <col min="19" max="20" width="15.5703125" style="75" bestFit="1" customWidth="1"/>
    <col min="21" max="21" width="15.5703125" style="9" bestFit="1" customWidth="1"/>
    <col min="22" max="22" width="15.5703125" style="9" customWidth="1"/>
    <col min="23" max="26" width="12" style="75" bestFit="1" customWidth="1"/>
    <col min="27" max="27" width="15.5703125" style="75" bestFit="1" customWidth="1"/>
    <col min="28" max="28" width="14.5703125" style="191" hidden="1" customWidth="1"/>
    <col min="29" max="30" width="0" style="184" hidden="1" customWidth="1"/>
    <col min="31" max="31" width="26.42578125" style="75" hidden="1" customWidth="1" outlineLevel="1"/>
    <col min="32" max="32" width="24.140625" style="75" hidden="1" customWidth="1" outlineLevel="1"/>
    <col min="33" max="33" width="9.140625" style="75" collapsed="1"/>
    <col min="34" max="16384" width="9.140625" style="75"/>
  </cols>
  <sheetData>
    <row r="1" spans="1:32" x14ac:dyDescent="0.25">
      <c r="A1" s="30" t="s">
        <v>0</v>
      </c>
    </row>
    <row r="2" spans="1:32" x14ac:dyDescent="0.25">
      <c r="C2" s="31" t="s">
        <v>1</v>
      </c>
      <c r="D2" s="159" t="s">
        <v>1</v>
      </c>
      <c r="E2" s="32" t="s">
        <v>1</v>
      </c>
      <c r="F2" s="32" t="s">
        <v>1</v>
      </c>
    </row>
    <row r="3" spans="1:32" x14ac:dyDescent="0.25">
      <c r="C3" s="31" t="s">
        <v>2</v>
      </c>
      <c r="D3" s="159" t="s">
        <v>2</v>
      </c>
      <c r="E3" s="32" t="s">
        <v>2</v>
      </c>
      <c r="F3" s="32" t="s">
        <v>2</v>
      </c>
    </row>
    <row r="4" spans="1:32" x14ac:dyDescent="0.25">
      <c r="C4" s="31"/>
      <c r="D4" s="159"/>
      <c r="E4" s="32"/>
      <c r="F4" s="32"/>
    </row>
    <row r="5" spans="1:32" ht="24" customHeight="1" x14ac:dyDescent="0.25">
      <c r="A5" s="332" t="s">
        <v>29</v>
      </c>
      <c r="B5" s="332"/>
      <c r="C5" s="332"/>
      <c r="D5" s="332"/>
      <c r="E5" s="332"/>
      <c r="F5" s="332"/>
      <c r="G5" s="79"/>
      <c r="H5" s="79"/>
      <c r="I5" s="79"/>
      <c r="J5" s="79"/>
      <c r="K5" s="79"/>
    </row>
    <row r="6" spans="1:32" ht="18.75" x14ac:dyDescent="0.25">
      <c r="A6" s="33" t="s">
        <v>295</v>
      </c>
      <c r="B6" s="33"/>
      <c r="AE6" s="190">
        <v>0.10029883632</v>
      </c>
      <c r="AF6" s="190">
        <f>1-AE6-0.1</f>
        <v>0.79970116367999999</v>
      </c>
    </row>
    <row r="7" spans="1:32" ht="19.5" customHeight="1" x14ac:dyDescent="0.25">
      <c r="A7" s="34"/>
      <c r="B7" s="34"/>
      <c r="C7" s="31"/>
      <c r="D7" s="159"/>
      <c r="E7" s="179"/>
      <c r="F7" s="178"/>
    </row>
    <row r="8" spans="1:32" ht="19.5" customHeight="1" x14ac:dyDescent="0.25">
      <c r="A8" s="199" t="s">
        <v>296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4"/>
      <c r="M8" s="175"/>
      <c r="N8" s="175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</row>
    <row r="9" spans="1:32" ht="16.5" thickBot="1" x14ac:dyDescent="0.3">
      <c r="A9" s="35"/>
    </row>
    <row r="10" spans="1:32" s="80" customFormat="1" ht="29.25" customHeight="1" thickBot="1" x14ac:dyDescent="0.3">
      <c r="A10" s="36" t="s">
        <v>3</v>
      </c>
      <c r="B10" s="311" t="s">
        <v>4</v>
      </c>
      <c r="C10" s="311" t="s">
        <v>284</v>
      </c>
      <c r="D10" s="329" t="s">
        <v>286</v>
      </c>
      <c r="E10" s="311" t="s">
        <v>285</v>
      </c>
      <c r="F10" s="311" t="s">
        <v>283</v>
      </c>
      <c r="G10" s="319" t="s">
        <v>32</v>
      </c>
      <c r="H10" s="320"/>
      <c r="I10" s="320"/>
      <c r="J10" s="311" t="s">
        <v>33</v>
      </c>
      <c r="K10" s="311" t="s">
        <v>310</v>
      </c>
      <c r="L10" s="339" t="s">
        <v>34</v>
      </c>
      <c r="M10" s="339"/>
      <c r="N10" s="340"/>
      <c r="O10" s="325" t="s">
        <v>30</v>
      </c>
      <c r="P10" s="333"/>
      <c r="Q10" s="336" t="s">
        <v>35</v>
      </c>
      <c r="R10" s="337"/>
      <c r="S10" s="337"/>
      <c r="T10" s="338"/>
      <c r="U10" s="322" t="s">
        <v>31</v>
      </c>
      <c r="V10" s="323"/>
      <c r="W10" s="323"/>
      <c r="X10" s="323"/>
      <c r="Y10" s="323"/>
      <c r="Z10" s="323"/>
      <c r="AA10" s="324"/>
      <c r="AB10" s="194"/>
      <c r="AC10" s="185"/>
      <c r="AD10" s="185"/>
    </row>
    <row r="11" spans="1:32" s="80" customFormat="1" ht="66.75" customHeight="1" thickBot="1" x14ac:dyDescent="0.3">
      <c r="A11" s="10" t="s">
        <v>5</v>
      </c>
      <c r="B11" s="312"/>
      <c r="C11" s="312"/>
      <c r="D11" s="330"/>
      <c r="E11" s="312"/>
      <c r="F11" s="312"/>
      <c r="G11" s="11" t="s">
        <v>298</v>
      </c>
      <c r="H11" s="11" t="s">
        <v>25</v>
      </c>
      <c r="I11" s="222" t="s">
        <v>6</v>
      </c>
      <c r="J11" s="312"/>
      <c r="K11" s="312"/>
      <c r="L11" s="169" t="s">
        <v>299</v>
      </c>
      <c r="M11" s="172" t="s">
        <v>301</v>
      </c>
      <c r="N11" s="72" t="s">
        <v>300</v>
      </c>
      <c r="O11" s="14" t="s">
        <v>302</v>
      </c>
      <c r="P11" s="15" t="s">
        <v>303</v>
      </c>
      <c r="Q11" s="13" t="s">
        <v>299</v>
      </c>
      <c r="R11" s="16" t="s">
        <v>301</v>
      </c>
      <c r="S11" s="17" t="s">
        <v>300</v>
      </c>
      <c r="T11" s="12" t="s">
        <v>297</v>
      </c>
      <c r="U11" s="18" t="s">
        <v>297</v>
      </c>
      <c r="V11" s="10" t="s">
        <v>309</v>
      </c>
      <c r="W11" s="19" t="s">
        <v>9</v>
      </c>
      <c r="X11" s="19" t="s">
        <v>9</v>
      </c>
      <c r="Y11" s="19" t="s">
        <v>9</v>
      </c>
      <c r="Z11" s="19" t="s">
        <v>9</v>
      </c>
      <c r="AA11" s="11" t="s">
        <v>22</v>
      </c>
      <c r="AB11" s="194"/>
      <c r="AC11" s="185"/>
      <c r="AD11" s="185"/>
    </row>
    <row r="12" spans="1:32" s="80" customFormat="1" ht="16.5" thickBot="1" x14ac:dyDescent="0.3">
      <c r="A12" s="10">
        <v>1</v>
      </c>
      <c r="B12" s="37">
        <v>2</v>
      </c>
      <c r="C12" s="11">
        <v>3</v>
      </c>
      <c r="D12" s="171">
        <v>4</v>
      </c>
      <c r="E12" s="11">
        <v>5</v>
      </c>
      <c r="F12" s="37">
        <v>6</v>
      </c>
      <c r="G12" s="11">
        <v>7</v>
      </c>
      <c r="H12" s="11">
        <v>8</v>
      </c>
      <c r="I12" s="177">
        <v>8</v>
      </c>
      <c r="J12" s="37">
        <v>9</v>
      </c>
      <c r="K12" s="171">
        <v>10</v>
      </c>
      <c r="L12" s="230">
        <v>11</v>
      </c>
      <c r="M12" s="73">
        <v>12</v>
      </c>
      <c r="N12" s="74">
        <v>13</v>
      </c>
      <c r="O12" s="37">
        <v>14</v>
      </c>
      <c r="P12" s="37">
        <v>15</v>
      </c>
      <c r="Q12" s="37">
        <v>16</v>
      </c>
      <c r="R12" s="37">
        <v>17</v>
      </c>
      <c r="S12" s="37">
        <v>18</v>
      </c>
      <c r="T12" s="37">
        <v>19</v>
      </c>
      <c r="U12" s="37">
        <v>20</v>
      </c>
      <c r="V12" s="11">
        <v>21</v>
      </c>
      <c r="W12" s="11">
        <v>23</v>
      </c>
      <c r="X12" s="11">
        <v>24</v>
      </c>
      <c r="Y12" s="11">
        <v>25</v>
      </c>
      <c r="Z12" s="37">
        <v>26</v>
      </c>
      <c r="AA12" s="11">
        <v>22</v>
      </c>
      <c r="AB12" s="194"/>
      <c r="AC12" s="185"/>
      <c r="AD12" s="185"/>
    </row>
    <row r="13" spans="1:32" s="81" customFormat="1" ht="18" customHeight="1" thickBot="1" x14ac:dyDescent="0.3">
      <c r="A13" s="38"/>
      <c r="B13" s="39"/>
      <c r="C13" s="39"/>
      <c r="D13" s="160"/>
      <c r="E13" s="39"/>
      <c r="F13" s="39"/>
      <c r="G13" s="39"/>
      <c r="H13" s="39"/>
      <c r="I13" s="223" t="s">
        <v>313</v>
      </c>
      <c r="J13" s="38"/>
      <c r="K13" s="38" t="s">
        <v>312</v>
      </c>
      <c r="L13" s="231"/>
      <c r="M13" s="41"/>
      <c r="N13" s="42"/>
      <c r="O13" s="20"/>
      <c r="P13" s="21"/>
      <c r="Q13" s="22"/>
      <c r="R13" s="41"/>
      <c r="S13" s="41"/>
      <c r="T13" s="43"/>
      <c r="U13" s="23"/>
      <c r="V13" s="70"/>
      <c r="W13" s="44"/>
      <c r="X13" s="44"/>
      <c r="Y13" s="44"/>
      <c r="Z13" s="44"/>
      <c r="AA13" s="71" t="s">
        <v>311</v>
      </c>
      <c r="AB13" s="195"/>
      <c r="AC13" s="186"/>
      <c r="AD13" s="186"/>
    </row>
    <row r="14" spans="1:32" s="81" customFormat="1" ht="12.75" thickBot="1" x14ac:dyDescent="0.3">
      <c r="A14" s="38"/>
      <c r="B14" s="39"/>
      <c r="C14" s="39"/>
      <c r="D14" s="160"/>
      <c r="E14" s="39"/>
      <c r="F14" s="39"/>
      <c r="G14" s="155"/>
      <c r="H14" s="44"/>
      <c r="I14" s="223"/>
      <c r="J14" s="38"/>
      <c r="K14" s="38"/>
      <c r="L14" s="40"/>
      <c r="M14" s="38"/>
      <c r="N14" s="38"/>
      <c r="O14" s="38"/>
      <c r="P14" s="38"/>
      <c r="Q14" s="38"/>
      <c r="R14" s="38"/>
      <c r="S14" s="38"/>
      <c r="T14" s="38"/>
      <c r="U14" s="23"/>
      <c r="V14" s="156"/>
      <c r="W14" s="44"/>
      <c r="X14" s="44"/>
      <c r="Y14" s="44"/>
      <c r="Z14" s="44"/>
      <c r="AA14" s="157"/>
      <c r="AB14" s="195"/>
      <c r="AC14" s="186"/>
      <c r="AD14" s="186"/>
    </row>
    <row r="15" spans="1:32" x14ac:dyDescent="0.25">
      <c r="A15" s="45">
        <v>1</v>
      </c>
      <c r="B15" s="5" t="s">
        <v>36</v>
      </c>
      <c r="C15" s="8"/>
      <c r="D15" s="161"/>
      <c r="E15" s="4"/>
      <c r="F15" s="4"/>
      <c r="G15" s="1"/>
      <c r="H15" s="2"/>
      <c r="I15" s="224"/>
      <c r="J15" s="3"/>
      <c r="K15" s="233"/>
      <c r="L15" s="85"/>
      <c r="M15" s="7"/>
      <c r="N15" s="82"/>
      <c r="O15" s="83"/>
      <c r="P15" s="84"/>
      <c r="Q15" s="85"/>
      <c r="R15" s="7"/>
      <c r="S15" s="7"/>
      <c r="T15" s="86"/>
      <c r="U15" s="6"/>
      <c r="V15" s="7"/>
      <c r="W15" s="87"/>
      <c r="X15" s="87"/>
      <c r="Y15" s="87"/>
      <c r="Z15" s="88"/>
      <c r="AA15" s="89"/>
    </row>
    <row r="16" spans="1:32" s="80" customFormat="1" ht="16.5" thickBot="1" x14ac:dyDescent="0.3">
      <c r="A16" s="46" t="s">
        <v>10</v>
      </c>
      <c r="B16" s="47" t="s">
        <v>36</v>
      </c>
      <c r="C16" s="24" t="s">
        <v>287</v>
      </c>
      <c r="D16" s="163">
        <v>1</v>
      </c>
      <c r="E16" s="145">
        <v>9239458.1699999999</v>
      </c>
      <c r="F16" s="244">
        <f>ROUND(D16*E16,2)</f>
        <v>9239458.1699999999</v>
      </c>
      <c r="G16" s="146">
        <f>F16*$AE$6</f>
        <v>926706.9</v>
      </c>
      <c r="H16" s="147">
        <v>0</v>
      </c>
      <c r="I16" s="221">
        <f>G16</f>
        <v>926706.9</v>
      </c>
      <c r="J16" s="153">
        <f>F16*0.1</f>
        <v>923945.82</v>
      </c>
      <c r="K16" s="153">
        <f>F16-I16-J16</f>
        <v>7388805.4500000002</v>
      </c>
      <c r="L16" s="245">
        <f>F16</f>
        <v>9239458.1699999999</v>
      </c>
      <c r="M16" s="99"/>
      <c r="N16" s="136"/>
      <c r="O16" s="101">
        <v>41365</v>
      </c>
      <c r="P16" s="102">
        <v>41384</v>
      </c>
      <c r="Q16" s="103">
        <f>K16</f>
        <v>7388805.4500000002</v>
      </c>
      <c r="R16" s="104"/>
      <c r="S16" s="104"/>
      <c r="T16" s="105"/>
      <c r="U16" s="137">
        <f>J16*0.5</f>
        <v>461972.91</v>
      </c>
      <c r="V16" s="138">
        <f>J16*0.5</f>
        <v>461972.91</v>
      </c>
      <c r="W16" s="106"/>
      <c r="X16" s="106"/>
      <c r="Y16" s="106"/>
      <c r="Z16" s="107"/>
      <c r="AA16" s="136">
        <f>U16+V16</f>
        <v>923945.82</v>
      </c>
      <c r="AB16" s="196">
        <f t="shared" ref="AB16:AB47" si="0">F16-I16-K16</f>
        <v>923945.82</v>
      </c>
      <c r="AC16" s="185">
        <f t="shared" ref="AC16:AC47" si="1">J16-AA16</f>
        <v>0</v>
      </c>
      <c r="AD16" s="185">
        <f t="shared" ref="AD16:AD47" si="2">J16-AA16</f>
        <v>0</v>
      </c>
    </row>
    <row r="17" spans="1:30" x14ac:dyDescent="0.25">
      <c r="A17" s="45" t="s">
        <v>37</v>
      </c>
      <c r="B17" s="5" t="s">
        <v>38</v>
      </c>
      <c r="C17" s="8"/>
      <c r="D17" s="161"/>
      <c r="E17" s="4"/>
      <c r="F17" s="4"/>
      <c r="G17" s="1"/>
      <c r="H17" s="2"/>
      <c r="I17" s="224"/>
      <c r="J17" s="3"/>
      <c r="K17" s="233"/>
      <c r="L17" s="85"/>
      <c r="M17" s="7"/>
      <c r="N17" s="82"/>
      <c r="O17" s="83"/>
      <c r="P17" s="84"/>
      <c r="Q17" s="85"/>
      <c r="R17" s="7"/>
      <c r="S17" s="7"/>
      <c r="T17" s="86"/>
      <c r="U17" s="6"/>
      <c r="V17" s="7"/>
      <c r="W17" s="87"/>
      <c r="X17" s="87"/>
      <c r="Y17" s="87"/>
      <c r="Z17" s="88"/>
      <c r="AA17" s="89"/>
      <c r="AB17" s="191">
        <f t="shared" si="0"/>
        <v>0</v>
      </c>
      <c r="AC17" s="184">
        <f t="shared" si="1"/>
        <v>0</v>
      </c>
      <c r="AD17" s="184">
        <f t="shared" si="2"/>
        <v>0</v>
      </c>
    </row>
    <row r="18" spans="1:30" s="80" customFormat="1" x14ac:dyDescent="0.25">
      <c r="A18" s="46" t="s">
        <v>11</v>
      </c>
      <c r="B18" s="47" t="s">
        <v>39</v>
      </c>
      <c r="C18" s="24"/>
      <c r="D18" s="162"/>
      <c r="E18" s="25"/>
      <c r="F18" s="25"/>
      <c r="G18" s="26"/>
      <c r="H18" s="27"/>
      <c r="I18" s="220"/>
      <c r="J18" s="25"/>
      <c r="K18" s="25">
        <f t="shared" ref="K18:K49" si="3">F18-I18-J18</f>
        <v>0</v>
      </c>
      <c r="L18" s="232"/>
      <c r="M18" s="90"/>
      <c r="N18" s="98"/>
      <c r="O18" s="91"/>
      <c r="P18" s="92"/>
      <c r="Q18" s="93"/>
      <c r="R18" s="29"/>
      <c r="S18" s="29"/>
      <c r="T18" s="94"/>
      <c r="U18" s="28"/>
      <c r="V18" s="29"/>
      <c r="W18" s="95"/>
      <c r="X18" s="95"/>
      <c r="Y18" s="95"/>
      <c r="Z18" s="96"/>
      <c r="AA18" s="97"/>
      <c r="AB18" s="196">
        <f t="shared" si="0"/>
        <v>0</v>
      </c>
      <c r="AC18" s="185">
        <f t="shared" si="1"/>
        <v>0</v>
      </c>
      <c r="AD18" s="185">
        <f t="shared" si="2"/>
        <v>0</v>
      </c>
    </row>
    <row r="19" spans="1:30" ht="47.25" x14ac:dyDescent="0.25">
      <c r="A19" s="48" t="s">
        <v>40</v>
      </c>
      <c r="B19" s="49" t="s">
        <v>41</v>
      </c>
      <c r="C19" s="213" t="s">
        <v>288</v>
      </c>
      <c r="D19" s="214">
        <v>51493</v>
      </c>
      <c r="E19" s="215">
        <v>767.48</v>
      </c>
      <c r="F19" s="215">
        <f t="shared" ref="F19:F42" si="4">ROUND(D19*E19,2)</f>
        <v>39519847.640000001</v>
      </c>
      <c r="G19" s="216">
        <f t="shared" ref="G19:G50" si="5">F19*$AE$6</f>
        <v>3963794.73</v>
      </c>
      <c r="H19" s="217">
        <v>0</v>
      </c>
      <c r="I19" s="218">
        <f t="shared" ref="I19:I80" si="6">G19</f>
        <v>3963794.73</v>
      </c>
      <c r="J19" s="215">
        <f t="shared" ref="J19:J82" si="7">F19*0.1</f>
        <v>3951984.76</v>
      </c>
      <c r="K19" s="229">
        <f t="shared" si="3"/>
        <v>31604068.149999999</v>
      </c>
      <c r="L19" s="149">
        <f>F19</f>
        <v>39519847.640000001</v>
      </c>
      <c r="M19" s="99"/>
      <c r="N19" s="100"/>
      <c r="O19" s="101">
        <v>41370</v>
      </c>
      <c r="P19" s="102">
        <v>41373</v>
      </c>
      <c r="Q19" s="103"/>
      <c r="R19" s="104">
        <f t="shared" ref="R19:R31" si="8">K19</f>
        <v>31604068.149999999</v>
      </c>
      <c r="S19" s="104"/>
      <c r="T19" s="200"/>
      <c r="U19" s="109">
        <f>J19*0.5</f>
        <v>1975992.38</v>
      </c>
      <c r="V19" s="104">
        <f>J19*0.5</f>
        <v>1975992.38</v>
      </c>
      <c r="W19" s="106"/>
      <c r="X19" s="106"/>
      <c r="Y19" s="106"/>
      <c r="Z19" s="107"/>
      <c r="AA19" s="136">
        <f>U19+V19</f>
        <v>3951984.76</v>
      </c>
      <c r="AB19" s="196">
        <f t="shared" si="0"/>
        <v>3951984.76</v>
      </c>
      <c r="AC19" s="185">
        <f t="shared" si="1"/>
        <v>0</v>
      </c>
      <c r="AD19" s="185">
        <f t="shared" si="2"/>
        <v>0</v>
      </c>
    </row>
    <row r="20" spans="1:30" ht="63" x14ac:dyDescent="0.25">
      <c r="A20" s="48" t="s">
        <v>42</v>
      </c>
      <c r="B20" s="49" t="s">
        <v>43</v>
      </c>
      <c r="C20" s="144" t="s">
        <v>288</v>
      </c>
      <c r="D20" s="163">
        <v>51493</v>
      </c>
      <c r="E20" s="145">
        <v>45.38</v>
      </c>
      <c r="F20" s="145">
        <f t="shared" si="4"/>
        <v>2336752.34</v>
      </c>
      <c r="G20" s="146">
        <f t="shared" si="5"/>
        <v>234373.54</v>
      </c>
      <c r="H20" s="147">
        <v>0</v>
      </c>
      <c r="I20" s="219">
        <f t="shared" si="6"/>
        <v>234373.54</v>
      </c>
      <c r="J20" s="215">
        <f t="shared" si="7"/>
        <v>233675.23</v>
      </c>
      <c r="K20" s="229">
        <f t="shared" si="3"/>
        <v>1868703.57</v>
      </c>
      <c r="L20" s="149">
        <f>F20</f>
        <v>2336752.34</v>
      </c>
      <c r="M20" s="99"/>
      <c r="N20" s="100"/>
      <c r="O20" s="101">
        <v>41374</v>
      </c>
      <c r="P20" s="102">
        <v>41376</v>
      </c>
      <c r="Q20" s="103"/>
      <c r="R20" s="104">
        <f t="shared" si="8"/>
        <v>1868703.57</v>
      </c>
      <c r="S20" s="104"/>
      <c r="T20" s="105"/>
      <c r="U20" s="109">
        <f>J20*0.5</f>
        <v>116837.62</v>
      </c>
      <c r="V20" s="104">
        <f>(J20*0.5)-0.01</f>
        <v>116837.61</v>
      </c>
      <c r="W20" s="106"/>
      <c r="X20" s="106"/>
      <c r="Y20" s="106"/>
      <c r="Z20" s="107"/>
      <c r="AA20" s="136">
        <f t="shared" ref="AA20:AA83" si="9">U20+V20</f>
        <v>233675.23</v>
      </c>
      <c r="AB20" s="196">
        <f t="shared" si="0"/>
        <v>233675.23</v>
      </c>
      <c r="AC20" s="185">
        <f t="shared" si="1"/>
        <v>0</v>
      </c>
      <c r="AD20" s="185">
        <f t="shared" si="2"/>
        <v>0</v>
      </c>
    </row>
    <row r="21" spans="1:30" s="80" customFormat="1" x14ac:dyDescent="0.25">
      <c r="A21" s="46" t="s">
        <v>12</v>
      </c>
      <c r="B21" s="47" t="s">
        <v>44</v>
      </c>
      <c r="C21" s="24"/>
      <c r="D21" s="162"/>
      <c r="E21" s="25"/>
      <c r="F21" s="25"/>
      <c r="G21" s="26">
        <f t="shared" si="5"/>
        <v>0</v>
      </c>
      <c r="H21" s="27">
        <v>0</v>
      </c>
      <c r="I21" s="220"/>
      <c r="J21" s="229">
        <f t="shared" si="7"/>
        <v>0</v>
      </c>
      <c r="K21" s="229">
        <f t="shared" si="3"/>
        <v>0</v>
      </c>
      <c r="L21" s="232"/>
      <c r="M21" s="90"/>
      <c r="N21" s="98"/>
      <c r="O21" s="91"/>
      <c r="P21" s="92"/>
      <c r="Q21" s="93"/>
      <c r="R21" s="104">
        <f t="shared" si="8"/>
        <v>0</v>
      </c>
      <c r="S21" s="29"/>
      <c r="T21" s="94"/>
      <c r="U21" s="109"/>
      <c r="V21" s="104"/>
      <c r="W21" s="106"/>
      <c r="X21" s="106"/>
      <c r="Y21" s="106"/>
      <c r="Z21" s="107"/>
      <c r="AA21" s="136"/>
      <c r="AB21" s="196">
        <f t="shared" si="0"/>
        <v>0</v>
      </c>
      <c r="AC21" s="185">
        <f t="shared" si="1"/>
        <v>0</v>
      </c>
      <c r="AD21" s="185">
        <f t="shared" si="2"/>
        <v>0</v>
      </c>
    </row>
    <row r="22" spans="1:30" ht="47.25" x14ac:dyDescent="0.25">
      <c r="A22" s="201" t="s">
        <v>45</v>
      </c>
      <c r="B22" s="202" t="s">
        <v>46</v>
      </c>
      <c r="C22" s="144" t="s">
        <v>288</v>
      </c>
      <c r="D22" s="163">
        <v>101040</v>
      </c>
      <c r="E22" s="145">
        <v>22.63</v>
      </c>
      <c r="F22" s="145">
        <f t="shared" si="4"/>
        <v>2286535.2000000002</v>
      </c>
      <c r="G22" s="146">
        <f t="shared" si="5"/>
        <v>229336.82</v>
      </c>
      <c r="H22" s="147">
        <v>0</v>
      </c>
      <c r="I22" s="219">
        <f t="shared" si="6"/>
        <v>229336.82</v>
      </c>
      <c r="J22" s="215">
        <f t="shared" si="7"/>
        <v>228653.52</v>
      </c>
      <c r="K22" s="229">
        <f t="shared" si="3"/>
        <v>1828544.86</v>
      </c>
      <c r="L22" s="149">
        <f>F22</f>
        <v>2286535.2000000002</v>
      </c>
      <c r="M22" s="203"/>
      <c r="N22" s="204"/>
      <c r="O22" s="205">
        <v>41377</v>
      </c>
      <c r="P22" s="206">
        <v>41379</v>
      </c>
      <c r="Q22" s="207"/>
      <c r="R22" s="208">
        <f t="shared" si="8"/>
        <v>1828544.86</v>
      </c>
      <c r="S22" s="208"/>
      <c r="T22" s="105"/>
      <c r="U22" s="209">
        <f>J22*0.5</f>
        <v>114326.76</v>
      </c>
      <c r="V22" s="208">
        <f>J22*0.5</f>
        <v>114326.76</v>
      </c>
      <c r="W22" s="210"/>
      <c r="X22" s="210"/>
      <c r="Y22" s="210"/>
      <c r="Z22" s="211"/>
      <c r="AA22" s="212">
        <f t="shared" si="9"/>
        <v>228653.52</v>
      </c>
      <c r="AB22" s="196">
        <f t="shared" si="0"/>
        <v>228653.52</v>
      </c>
      <c r="AC22" s="185">
        <f t="shared" si="1"/>
        <v>0</v>
      </c>
      <c r="AD22" s="185">
        <f t="shared" si="2"/>
        <v>0</v>
      </c>
    </row>
    <row r="23" spans="1:30" ht="31.5" x14ac:dyDescent="0.25">
      <c r="A23" s="48" t="s">
        <v>47</v>
      </c>
      <c r="B23" s="49" t="s">
        <v>48</v>
      </c>
      <c r="C23" s="144" t="s">
        <v>288</v>
      </c>
      <c r="D23" s="163">
        <v>3125</v>
      </c>
      <c r="E23" s="145">
        <v>409.06</v>
      </c>
      <c r="F23" s="145">
        <f t="shared" si="4"/>
        <v>1278312.5</v>
      </c>
      <c r="G23" s="146">
        <f t="shared" si="5"/>
        <v>128213.26</v>
      </c>
      <c r="H23" s="147">
        <v>0</v>
      </c>
      <c r="I23" s="219">
        <f t="shared" si="6"/>
        <v>128213.26</v>
      </c>
      <c r="J23" s="215">
        <f t="shared" si="7"/>
        <v>127831.25</v>
      </c>
      <c r="K23" s="229">
        <f t="shared" si="3"/>
        <v>1022267.99</v>
      </c>
      <c r="L23" s="149">
        <f>F23</f>
        <v>1278312.5</v>
      </c>
      <c r="M23" s="99"/>
      <c r="N23" s="100"/>
      <c r="O23" s="101">
        <v>41379</v>
      </c>
      <c r="P23" s="102">
        <v>41382</v>
      </c>
      <c r="Q23" s="103"/>
      <c r="R23" s="104">
        <f t="shared" si="8"/>
        <v>1022267.99</v>
      </c>
      <c r="S23" s="104"/>
      <c r="T23" s="105"/>
      <c r="U23" s="109">
        <f>J23*0.5</f>
        <v>63915.63</v>
      </c>
      <c r="V23" s="104">
        <v>63915.62</v>
      </c>
      <c r="W23" s="106"/>
      <c r="X23" s="106"/>
      <c r="Y23" s="106"/>
      <c r="Z23" s="107"/>
      <c r="AA23" s="136">
        <f>J23</f>
        <v>127831.25</v>
      </c>
      <c r="AB23" s="196">
        <f t="shared" si="0"/>
        <v>127831.25</v>
      </c>
      <c r="AC23" s="185">
        <f t="shared" si="1"/>
        <v>0</v>
      </c>
      <c r="AD23" s="185">
        <f t="shared" si="2"/>
        <v>0</v>
      </c>
    </row>
    <row r="24" spans="1:30" ht="47.25" x14ac:dyDescent="0.25">
      <c r="A24" s="48" t="s">
        <v>49</v>
      </c>
      <c r="B24" s="49" t="s">
        <v>50</v>
      </c>
      <c r="C24" s="144" t="s">
        <v>288</v>
      </c>
      <c r="D24" s="163">
        <v>3125</v>
      </c>
      <c r="E24" s="145">
        <v>22.63</v>
      </c>
      <c r="F24" s="145">
        <f t="shared" si="4"/>
        <v>70718.75</v>
      </c>
      <c r="G24" s="146">
        <f t="shared" si="5"/>
        <v>7093.01</v>
      </c>
      <c r="H24" s="147">
        <v>0</v>
      </c>
      <c r="I24" s="219">
        <f t="shared" si="6"/>
        <v>7093.01</v>
      </c>
      <c r="J24" s="215">
        <f t="shared" si="7"/>
        <v>7071.88</v>
      </c>
      <c r="K24" s="229">
        <f t="shared" si="3"/>
        <v>56553.86</v>
      </c>
      <c r="L24" s="149">
        <f>F24</f>
        <v>70718.75</v>
      </c>
      <c r="M24" s="99"/>
      <c r="N24" s="100"/>
      <c r="O24" s="101">
        <v>41379</v>
      </c>
      <c r="P24" s="102">
        <v>41383</v>
      </c>
      <c r="Q24" s="103"/>
      <c r="R24" s="104">
        <f t="shared" si="8"/>
        <v>56553.86</v>
      </c>
      <c r="S24" s="104"/>
      <c r="T24" s="105"/>
      <c r="U24" s="109">
        <f>J24*0.5</f>
        <v>3535.94</v>
      </c>
      <c r="V24" s="104">
        <f>J24*0.5</f>
        <v>3535.94</v>
      </c>
      <c r="W24" s="106"/>
      <c r="X24" s="106"/>
      <c r="Y24" s="106"/>
      <c r="Z24" s="107"/>
      <c r="AA24" s="136">
        <f t="shared" si="9"/>
        <v>7071.88</v>
      </c>
      <c r="AB24" s="196">
        <f t="shared" si="0"/>
        <v>7071.88</v>
      </c>
      <c r="AC24" s="185">
        <f t="shared" si="1"/>
        <v>0</v>
      </c>
      <c r="AD24" s="185">
        <f t="shared" si="2"/>
        <v>0</v>
      </c>
    </row>
    <row r="25" spans="1:30" ht="78.75" x14ac:dyDescent="0.25">
      <c r="A25" s="48" t="s">
        <v>51</v>
      </c>
      <c r="B25" s="49" t="s">
        <v>52</v>
      </c>
      <c r="C25" s="144" t="s">
        <v>289</v>
      </c>
      <c r="D25" s="163">
        <v>166664</v>
      </c>
      <c r="E25" s="145">
        <v>16.87</v>
      </c>
      <c r="F25" s="145">
        <f t="shared" si="4"/>
        <v>2811621.68</v>
      </c>
      <c r="G25" s="146">
        <f t="shared" si="5"/>
        <v>282002.38</v>
      </c>
      <c r="H25" s="147">
        <v>0</v>
      </c>
      <c r="I25" s="219">
        <f t="shared" si="6"/>
        <v>282002.38</v>
      </c>
      <c r="J25" s="215">
        <f t="shared" si="7"/>
        <v>281162.17</v>
      </c>
      <c r="K25" s="229">
        <f t="shared" si="3"/>
        <v>2248457.13</v>
      </c>
      <c r="L25" s="149">
        <f>F25</f>
        <v>2811621.68</v>
      </c>
      <c r="M25" s="99"/>
      <c r="N25" s="100"/>
      <c r="O25" s="101">
        <v>41379</v>
      </c>
      <c r="P25" s="102">
        <v>41383</v>
      </c>
      <c r="Q25" s="103"/>
      <c r="R25" s="104">
        <f t="shared" si="8"/>
        <v>2248457.13</v>
      </c>
      <c r="S25" s="104"/>
      <c r="T25" s="105"/>
      <c r="U25" s="109">
        <f>J25*0.5</f>
        <v>140581.09</v>
      </c>
      <c r="V25" s="104">
        <v>140581.07999999999</v>
      </c>
      <c r="W25" s="106"/>
      <c r="X25" s="106"/>
      <c r="Y25" s="106"/>
      <c r="Z25" s="107"/>
      <c r="AA25" s="136">
        <f t="shared" si="9"/>
        <v>281162.17</v>
      </c>
      <c r="AB25" s="196">
        <f t="shared" si="0"/>
        <v>281162.17</v>
      </c>
      <c r="AC25" s="185">
        <f t="shared" si="1"/>
        <v>0</v>
      </c>
      <c r="AD25" s="185">
        <f t="shared" si="2"/>
        <v>0</v>
      </c>
    </row>
    <row r="26" spans="1:30" s="80" customFormat="1" ht="31.5" x14ac:dyDescent="0.25">
      <c r="A26" s="46" t="s">
        <v>13</v>
      </c>
      <c r="B26" s="47" t="s">
        <v>53</v>
      </c>
      <c r="C26" s="24"/>
      <c r="D26" s="162"/>
      <c r="E26" s="25"/>
      <c r="F26" s="25"/>
      <c r="G26" s="26">
        <f t="shared" si="5"/>
        <v>0</v>
      </c>
      <c r="H26" s="27"/>
      <c r="I26" s="220"/>
      <c r="J26" s="229">
        <f t="shared" si="7"/>
        <v>0</v>
      </c>
      <c r="K26" s="229">
        <f t="shared" si="3"/>
        <v>0</v>
      </c>
      <c r="L26" s="93"/>
      <c r="M26" s="90"/>
      <c r="N26" s="98"/>
      <c r="O26" s="91"/>
      <c r="P26" s="92"/>
      <c r="Q26" s="93"/>
      <c r="R26" s="104">
        <f t="shared" si="8"/>
        <v>0</v>
      </c>
      <c r="S26" s="29"/>
      <c r="T26" s="94"/>
      <c r="U26" s="109"/>
      <c r="V26" s="104"/>
      <c r="W26" s="106"/>
      <c r="X26" s="106"/>
      <c r="Y26" s="106"/>
      <c r="Z26" s="107"/>
      <c r="AA26" s="136"/>
      <c r="AB26" s="196">
        <f t="shared" si="0"/>
        <v>0</v>
      </c>
      <c r="AC26" s="185">
        <f t="shared" si="1"/>
        <v>0</v>
      </c>
      <c r="AD26" s="185">
        <f t="shared" si="2"/>
        <v>0</v>
      </c>
    </row>
    <row r="27" spans="1:30" ht="31.5" x14ac:dyDescent="0.25">
      <c r="A27" s="48" t="s">
        <v>54</v>
      </c>
      <c r="B27" s="49" t="s">
        <v>55</v>
      </c>
      <c r="C27" s="144" t="s">
        <v>288</v>
      </c>
      <c r="D27" s="163">
        <v>15750</v>
      </c>
      <c r="E27" s="145">
        <v>1400.94</v>
      </c>
      <c r="F27" s="145">
        <f t="shared" si="4"/>
        <v>22064805</v>
      </c>
      <c r="G27" s="146">
        <f t="shared" si="5"/>
        <v>2213074.27</v>
      </c>
      <c r="H27" s="147">
        <v>0</v>
      </c>
      <c r="I27" s="219">
        <f t="shared" si="6"/>
        <v>2213074.27</v>
      </c>
      <c r="J27" s="215">
        <f t="shared" si="7"/>
        <v>2206480.5</v>
      </c>
      <c r="K27" s="229">
        <f t="shared" si="3"/>
        <v>17645250.23</v>
      </c>
      <c r="L27" s="149">
        <f>F27</f>
        <v>22064805</v>
      </c>
      <c r="M27" s="148"/>
      <c r="N27" s="100"/>
      <c r="O27" s="101">
        <v>41384</v>
      </c>
      <c r="P27" s="102">
        <v>41395</v>
      </c>
      <c r="Q27" s="103"/>
      <c r="R27" s="104">
        <f t="shared" si="8"/>
        <v>17645250.23</v>
      </c>
      <c r="S27" s="104"/>
      <c r="T27" s="105"/>
      <c r="U27" s="109">
        <f>J27*0.5</f>
        <v>1103240.25</v>
      </c>
      <c r="V27" s="104">
        <f>J27*0.5</f>
        <v>1103240.25</v>
      </c>
      <c r="W27" s="106"/>
      <c r="X27" s="106"/>
      <c r="Y27" s="106"/>
      <c r="Z27" s="107"/>
      <c r="AA27" s="136">
        <f t="shared" si="9"/>
        <v>2206480.5</v>
      </c>
      <c r="AB27" s="196">
        <f t="shared" si="0"/>
        <v>2206480.5</v>
      </c>
      <c r="AC27" s="185">
        <f t="shared" si="1"/>
        <v>0</v>
      </c>
      <c r="AD27" s="185">
        <f t="shared" si="2"/>
        <v>0</v>
      </c>
    </row>
    <row r="28" spans="1:30" s="80" customFormat="1" ht="31.5" x14ac:dyDescent="0.25">
      <c r="A28" s="46" t="s">
        <v>56</v>
      </c>
      <c r="B28" s="47" t="s">
        <v>57</v>
      </c>
      <c r="C28" s="24"/>
      <c r="D28" s="162"/>
      <c r="E28" s="25"/>
      <c r="F28" s="25"/>
      <c r="G28" s="26">
        <f t="shared" si="5"/>
        <v>0</v>
      </c>
      <c r="H28" s="27">
        <v>0</v>
      </c>
      <c r="I28" s="220"/>
      <c r="J28" s="229">
        <f t="shared" si="7"/>
        <v>0</v>
      </c>
      <c r="K28" s="229">
        <f t="shared" si="3"/>
        <v>0</v>
      </c>
      <c r="L28" s="232"/>
      <c r="M28" s="90"/>
      <c r="N28" s="98"/>
      <c r="O28" s="91"/>
      <c r="P28" s="92"/>
      <c r="Q28" s="93"/>
      <c r="R28" s="104">
        <f t="shared" si="8"/>
        <v>0</v>
      </c>
      <c r="S28" s="29"/>
      <c r="T28" s="94"/>
      <c r="U28" s="109">
        <f>J28*0.5</f>
        <v>0</v>
      </c>
      <c r="V28" s="104">
        <v>0</v>
      </c>
      <c r="W28" s="106"/>
      <c r="X28" s="106"/>
      <c r="Y28" s="106"/>
      <c r="Z28" s="107"/>
      <c r="AA28" s="136">
        <f t="shared" si="9"/>
        <v>0</v>
      </c>
      <c r="AB28" s="196">
        <f t="shared" si="0"/>
        <v>0</v>
      </c>
      <c r="AC28" s="185">
        <f t="shared" si="1"/>
        <v>0</v>
      </c>
      <c r="AD28" s="185">
        <f t="shared" si="2"/>
        <v>0</v>
      </c>
    </row>
    <row r="29" spans="1:30" x14ac:dyDescent="0.25">
      <c r="A29" s="48" t="s">
        <v>58</v>
      </c>
      <c r="B29" s="49" t="s">
        <v>59</v>
      </c>
      <c r="C29" s="144" t="s">
        <v>288</v>
      </c>
      <c r="D29" s="163">
        <v>15750</v>
      </c>
      <c r="E29" s="145">
        <v>281.48</v>
      </c>
      <c r="F29" s="145">
        <f t="shared" si="4"/>
        <v>4433310</v>
      </c>
      <c r="G29" s="146">
        <f t="shared" si="5"/>
        <v>444655.83</v>
      </c>
      <c r="H29" s="147">
        <v>0</v>
      </c>
      <c r="I29" s="219">
        <f t="shared" si="6"/>
        <v>444655.83</v>
      </c>
      <c r="J29" s="215">
        <f t="shared" si="7"/>
        <v>443331</v>
      </c>
      <c r="K29" s="229">
        <f t="shared" si="3"/>
        <v>3545323.17</v>
      </c>
      <c r="L29" s="149">
        <f>F29</f>
        <v>4433310</v>
      </c>
      <c r="M29" s="148"/>
      <c r="N29" s="100"/>
      <c r="O29" s="101">
        <v>41414</v>
      </c>
      <c r="P29" s="102">
        <v>41421</v>
      </c>
      <c r="Q29" s="103"/>
      <c r="R29" s="104">
        <f t="shared" si="8"/>
        <v>3545323.17</v>
      </c>
      <c r="S29" s="104"/>
      <c r="T29" s="105"/>
      <c r="U29" s="109">
        <f>J29*0.5</f>
        <v>221665.5</v>
      </c>
      <c r="V29" s="104">
        <v>221665.5</v>
      </c>
      <c r="W29" s="106"/>
      <c r="X29" s="106"/>
      <c r="Y29" s="106"/>
      <c r="Z29" s="107"/>
      <c r="AA29" s="136">
        <f t="shared" si="9"/>
        <v>443331</v>
      </c>
      <c r="AB29" s="196">
        <f t="shared" si="0"/>
        <v>443331</v>
      </c>
      <c r="AC29" s="185">
        <f t="shared" si="1"/>
        <v>0</v>
      </c>
      <c r="AD29" s="185">
        <f t="shared" si="2"/>
        <v>0</v>
      </c>
    </row>
    <row r="30" spans="1:30" ht="47.25" x14ac:dyDescent="0.25">
      <c r="A30" s="48" t="s">
        <v>60</v>
      </c>
      <c r="B30" s="49" t="s">
        <v>61</v>
      </c>
      <c r="C30" s="144" t="s">
        <v>288</v>
      </c>
      <c r="D30" s="163">
        <v>16065</v>
      </c>
      <c r="E30" s="145">
        <v>22.63</v>
      </c>
      <c r="F30" s="145">
        <f t="shared" si="4"/>
        <v>363550.95</v>
      </c>
      <c r="G30" s="146">
        <f t="shared" si="5"/>
        <v>36463.74</v>
      </c>
      <c r="H30" s="147">
        <v>0</v>
      </c>
      <c r="I30" s="219">
        <f t="shared" si="6"/>
        <v>36463.74</v>
      </c>
      <c r="J30" s="215">
        <f t="shared" si="7"/>
        <v>36355.1</v>
      </c>
      <c r="K30" s="229">
        <f t="shared" si="3"/>
        <v>290732.11</v>
      </c>
      <c r="L30" s="149">
        <f>F30</f>
        <v>363550.95</v>
      </c>
      <c r="M30" s="148"/>
      <c r="N30" s="100"/>
      <c r="O30" s="101">
        <v>41415</v>
      </c>
      <c r="P30" s="102">
        <v>41421</v>
      </c>
      <c r="Q30" s="103"/>
      <c r="R30" s="104">
        <f t="shared" si="8"/>
        <v>290732.11</v>
      </c>
      <c r="S30" s="104"/>
      <c r="T30" s="105"/>
      <c r="U30" s="109">
        <f>J30*0.5</f>
        <v>18177.55</v>
      </c>
      <c r="V30" s="104">
        <v>18177.55</v>
      </c>
      <c r="W30" s="106"/>
      <c r="X30" s="106"/>
      <c r="Y30" s="106"/>
      <c r="Z30" s="107"/>
      <c r="AA30" s="136">
        <f t="shared" si="9"/>
        <v>36355.1</v>
      </c>
      <c r="AB30" s="196">
        <f t="shared" si="0"/>
        <v>36355.1</v>
      </c>
      <c r="AC30" s="185">
        <f t="shared" si="1"/>
        <v>0</v>
      </c>
      <c r="AD30" s="185">
        <f t="shared" si="2"/>
        <v>0</v>
      </c>
    </row>
    <row r="31" spans="1:30" ht="78.75" x14ac:dyDescent="0.25">
      <c r="A31" s="48" t="s">
        <v>62</v>
      </c>
      <c r="B31" s="49" t="s">
        <v>63</v>
      </c>
      <c r="C31" s="144" t="s">
        <v>289</v>
      </c>
      <c r="D31" s="163">
        <v>25704</v>
      </c>
      <c r="E31" s="145">
        <v>16.87</v>
      </c>
      <c r="F31" s="145">
        <f t="shared" si="4"/>
        <v>433626.48</v>
      </c>
      <c r="G31" s="146">
        <f t="shared" si="5"/>
        <v>43492.23</v>
      </c>
      <c r="H31" s="147">
        <v>0</v>
      </c>
      <c r="I31" s="219">
        <f t="shared" si="6"/>
        <v>43492.23</v>
      </c>
      <c r="J31" s="215">
        <f t="shared" si="7"/>
        <v>43362.65</v>
      </c>
      <c r="K31" s="229">
        <f t="shared" si="3"/>
        <v>346771.6</v>
      </c>
      <c r="L31" s="149">
        <f>F31</f>
        <v>433626.48</v>
      </c>
      <c r="M31" s="148"/>
      <c r="N31" s="100"/>
      <c r="O31" s="101">
        <v>41415</v>
      </c>
      <c r="P31" s="102">
        <v>41421</v>
      </c>
      <c r="Q31" s="103"/>
      <c r="R31" s="104">
        <f t="shared" si="8"/>
        <v>346771.6</v>
      </c>
      <c r="S31" s="104"/>
      <c r="T31" s="105"/>
      <c r="U31" s="109">
        <f>J31*0.5</f>
        <v>21681.33</v>
      </c>
      <c r="V31" s="104">
        <v>21681.32</v>
      </c>
      <c r="W31" s="106"/>
      <c r="X31" s="106"/>
      <c r="Y31" s="106"/>
      <c r="Z31" s="107"/>
      <c r="AA31" s="136">
        <f t="shared" si="9"/>
        <v>43362.65</v>
      </c>
      <c r="AB31" s="196">
        <f t="shared" si="0"/>
        <v>43362.65</v>
      </c>
      <c r="AC31" s="185">
        <f t="shared" si="1"/>
        <v>0</v>
      </c>
      <c r="AD31" s="185">
        <f t="shared" si="2"/>
        <v>0</v>
      </c>
    </row>
    <row r="32" spans="1:30" s="80" customFormat="1" ht="31.5" x14ac:dyDescent="0.25">
      <c r="A32" s="46" t="s">
        <v>64</v>
      </c>
      <c r="B32" s="47" t="s">
        <v>65</v>
      </c>
      <c r="C32" s="24"/>
      <c r="D32" s="162"/>
      <c r="E32" s="25"/>
      <c r="F32" s="25"/>
      <c r="G32" s="26">
        <f t="shared" si="5"/>
        <v>0</v>
      </c>
      <c r="H32" s="27">
        <v>0</v>
      </c>
      <c r="I32" s="220"/>
      <c r="J32" s="229">
        <f t="shared" si="7"/>
        <v>0</v>
      </c>
      <c r="K32" s="229">
        <f t="shared" si="3"/>
        <v>0</v>
      </c>
      <c r="L32" s="93"/>
      <c r="M32" s="90"/>
      <c r="N32" s="98"/>
      <c r="O32" s="91"/>
      <c r="P32" s="92"/>
      <c r="Q32" s="93"/>
      <c r="R32" s="29"/>
      <c r="S32" s="29"/>
      <c r="T32" s="94"/>
      <c r="U32" s="109"/>
      <c r="V32" s="104"/>
      <c r="W32" s="106"/>
      <c r="X32" s="106"/>
      <c r="Y32" s="106"/>
      <c r="Z32" s="107"/>
      <c r="AA32" s="136"/>
      <c r="AB32" s="196">
        <f t="shared" si="0"/>
        <v>0</v>
      </c>
      <c r="AC32" s="185">
        <f t="shared" si="1"/>
        <v>0</v>
      </c>
      <c r="AD32" s="185">
        <f t="shared" si="2"/>
        <v>0</v>
      </c>
    </row>
    <row r="33" spans="1:31" ht="47.25" x14ac:dyDescent="0.25">
      <c r="A33" s="48" t="s">
        <v>66</v>
      </c>
      <c r="B33" s="49" t="s">
        <v>67</v>
      </c>
      <c r="C33" s="144" t="s">
        <v>288</v>
      </c>
      <c r="D33" s="163">
        <v>27964.9</v>
      </c>
      <c r="E33" s="145">
        <v>22.63</v>
      </c>
      <c r="F33" s="145">
        <f t="shared" si="4"/>
        <v>632845.68999999994</v>
      </c>
      <c r="G33" s="146">
        <f t="shared" si="5"/>
        <v>63473.69</v>
      </c>
      <c r="H33" s="147">
        <v>0</v>
      </c>
      <c r="I33" s="219">
        <f t="shared" si="6"/>
        <v>63473.69</v>
      </c>
      <c r="J33" s="215">
        <f t="shared" si="7"/>
        <v>63284.57</v>
      </c>
      <c r="K33" s="229">
        <f t="shared" si="3"/>
        <v>506087.43</v>
      </c>
      <c r="L33" s="103"/>
      <c r="M33" s="99"/>
      <c r="N33" s="149">
        <f>F33</f>
        <v>632845.68999999994</v>
      </c>
      <c r="O33" s="101">
        <v>41453</v>
      </c>
      <c r="P33" s="102">
        <v>41471</v>
      </c>
      <c r="Q33" s="103"/>
      <c r="R33" s="104"/>
      <c r="S33" s="104"/>
      <c r="T33" s="105">
        <f>K33</f>
        <v>506087.43</v>
      </c>
      <c r="U33" s="109">
        <f t="shared" ref="U33:U39" si="10">J33*0.5</f>
        <v>31642.29</v>
      </c>
      <c r="V33" s="104">
        <v>31642.28</v>
      </c>
      <c r="W33" s="106"/>
      <c r="X33" s="106"/>
      <c r="Y33" s="106"/>
      <c r="Z33" s="107"/>
      <c r="AA33" s="136">
        <f t="shared" si="9"/>
        <v>63284.57</v>
      </c>
      <c r="AB33" s="196">
        <f t="shared" si="0"/>
        <v>63284.57</v>
      </c>
      <c r="AC33" s="185">
        <f t="shared" si="1"/>
        <v>0</v>
      </c>
      <c r="AD33" s="185">
        <f t="shared" si="2"/>
        <v>0</v>
      </c>
    </row>
    <row r="34" spans="1:31" ht="78.75" x14ac:dyDescent="0.25">
      <c r="A34" s="48" t="s">
        <v>68</v>
      </c>
      <c r="B34" s="49" t="s">
        <v>69</v>
      </c>
      <c r="C34" s="144" t="s">
        <v>289</v>
      </c>
      <c r="D34" s="163">
        <v>44743.78</v>
      </c>
      <c r="E34" s="145">
        <v>14.23</v>
      </c>
      <c r="F34" s="145">
        <f t="shared" si="4"/>
        <v>636703.99</v>
      </c>
      <c r="G34" s="146">
        <f t="shared" si="5"/>
        <v>63860.67</v>
      </c>
      <c r="H34" s="147">
        <v>0</v>
      </c>
      <c r="I34" s="219">
        <f t="shared" si="6"/>
        <v>63860.67</v>
      </c>
      <c r="J34" s="215">
        <f t="shared" si="7"/>
        <v>63670.400000000001</v>
      </c>
      <c r="K34" s="229">
        <f t="shared" si="3"/>
        <v>509172.92</v>
      </c>
      <c r="L34" s="103"/>
      <c r="M34" s="99"/>
      <c r="N34" s="149">
        <f>F34</f>
        <v>636703.99</v>
      </c>
      <c r="O34" s="101">
        <v>41453</v>
      </c>
      <c r="P34" s="102">
        <v>41471</v>
      </c>
      <c r="Q34" s="103"/>
      <c r="R34" s="104"/>
      <c r="S34" s="104"/>
      <c r="T34" s="105">
        <f>K34</f>
        <v>509172.92</v>
      </c>
      <c r="U34" s="109">
        <f t="shared" si="10"/>
        <v>31835.200000000001</v>
      </c>
      <c r="V34" s="104">
        <v>31835.200000000001</v>
      </c>
      <c r="W34" s="106"/>
      <c r="X34" s="106"/>
      <c r="Y34" s="106"/>
      <c r="Z34" s="107"/>
      <c r="AA34" s="136">
        <f t="shared" si="9"/>
        <v>63670.400000000001</v>
      </c>
      <c r="AB34" s="196">
        <f t="shared" si="0"/>
        <v>63670.400000000001</v>
      </c>
      <c r="AC34" s="185">
        <f t="shared" si="1"/>
        <v>0</v>
      </c>
      <c r="AD34" s="185">
        <f t="shared" si="2"/>
        <v>0</v>
      </c>
    </row>
    <row r="35" spans="1:31" ht="47.25" x14ac:dyDescent="0.25">
      <c r="A35" s="48" t="s">
        <v>70</v>
      </c>
      <c r="B35" s="49" t="s">
        <v>71</v>
      </c>
      <c r="C35" s="144" t="s">
        <v>288</v>
      </c>
      <c r="D35" s="163">
        <v>27964.9</v>
      </c>
      <c r="E35" s="145">
        <v>16.34</v>
      </c>
      <c r="F35" s="145">
        <f t="shared" si="4"/>
        <v>456946.47</v>
      </c>
      <c r="G35" s="146">
        <f t="shared" si="5"/>
        <v>45831.199999999997</v>
      </c>
      <c r="H35" s="147">
        <v>0</v>
      </c>
      <c r="I35" s="219">
        <f t="shared" si="6"/>
        <v>45831.199999999997</v>
      </c>
      <c r="J35" s="215">
        <f t="shared" si="7"/>
        <v>45694.65</v>
      </c>
      <c r="K35" s="229">
        <f t="shared" si="3"/>
        <v>365420.62</v>
      </c>
      <c r="L35" s="103"/>
      <c r="M35" s="99"/>
      <c r="N35" s="149">
        <f>F35</f>
        <v>456946.47</v>
      </c>
      <c r="O35" s="101">
        <v>41453</v>
      </c>
      <c r="P35" s="102">
        <v>41471</v>
      </c>
      <c r="Q35" s="103"/>
      <c r="R35" s="104"/>
      <c r="S35" s="104"/>
      <c r="T35" s="105">
        <f>K35</f>
        <v>365420.62</v>
      </c>
      <c r="U35" s="109">
        <f t="shared" si="10"/>
        <v>22847.33</v>
      </c>
      <c r="V35" s="104">
        <v>22847.32</v>
      </c>
      <c r="W35" s="106"/>
      <c r="X35" s="106"/>
      <c r="Y35" s="106"/>
      <c r="Z35" s="107"/>
      <c r="AA35" s="136">
        <f t="shared" si="9"/>
        <v>45694.65</v>
      </c>
      <c r="AB35" s="196">
        <f t="shared" si="0"/>
        <v>45694.65</v>
      </c>
      <c r="AC35" s="185">
        <f t="shared" si="1"/>
        <v>0</v>
      </c>
      <c r="AD35" s="185">
        <f t="shared" si="2"/>
        <v>0</v>
      </c>
    </row>
    <row r="36" spans="1:31" ht="63" x14ac:dyDescent="0.25">
      <c r="A36" s="48" t="s">
        <v>72</v>
      </c>
      <c r="B36" s="49" t="s">
        <v>73</v>
      </c>
      <c r="C36" s="144" t="s">
        <v>288</v>
      </c>
      <c r="D36" s="163">
        <v>22880.3</v>
      </c>
      <c r="E36" s="145">
        <v>45.38</v>
      </c>
      <c r="F36" s="145">
        <f t="shared" si="4"/>
        <v>1038308.01</v>
      </c>
      <c r="G36" s="146">
        <f t="shared" si="5"/>
        <v>104141.09</v>
      </c>
      <c r="H36" s="147">
        <v>0</v>
      </c>
      <c r="I36" s="219">
        <f t="shared" si="6"/>
        <v>104141.09</v>
      </c>
      <c r="J36" s="215">
        <f t="shared" si="7"/>
        <v>103830.8</v>
      </c>
      <c r="K36" s="229">
        <f t="shared" si="3"/>
        <v>830336.12</v>
      </c>
      <c r="L36" s="103"/>
      <c r="M36" s="99"/>
      <c r="N36" s="149">
        <f>F36</f>
        <v>1038308.01</v>
      </c>
      <c r="O36" s="101">
        <v>41454</v>
      </c>
      <c r="P36" s="102">
        <v>41471</v>
      </c>
      <c r="Q36" s="103"/>
      <c r="R36" s="104"/>
      <c r="S36" s="104"/>
      <c r="T36" s="105">
        <f>K36</f>
        <v>830336.12</v>
      </c>
      <c r="U36" s="109">
        <f t="shared" si="10"/>
        <v>51915.4</v>
      </c>
      <c r="V36" s="104">
        <v>51915.4</v>
      </c>
      <c r="W36" s="106"/>
      <c r="X36" s="106"/>
      <c r="Y36" s="106"/>
      <c r="Z36" s="107"/>
      <c r="AA36" s="136">
        <f t="shared" si="9"/>
        <v>103830.8</v>
      </c>
      <c r="AB36" s="196">
        <f t="shared" si="0"/>
        <v>103830.8</v>
      </c>
      <c r="AC36" s="185">
        <f t="shared" si="1"/>
        <v>0</v>
      </c>
      <c r="AD36" s="185">
        <f t="shared" si="2"/>
        <v>0</v>
      </c>
    </row>
    <row r="37" spans="1:31" ht="31.5" x14ac:dyDescent="0.25">
      <c r="A37" s="48" t="s">
        <v>74</v>
      </c>
      <c r="B37" s="49" t="s">
        <v>75</v>
      </c>
      <c r="C37" s="144" t="s">
        <v>288</v>
      </c>
      <c r="D37" s="163">
        <v>2542.3000000000002</v>
      </c>
      <c r="E37" s="145">
        <v>59.35</v>
      </c>
      <c r="F37" s="145">
        <f t="shared" si="4"/>
        <v>150885.51</v>
      </c>
      <c r="G37" s="146">
        <f t="shared" si="5"/>
        <v>15133.64</v>
      </c>
      <c r="H37" s="147">
        <v>0</v>
      </c>
      <c r="I37" s="219">
        <f t="shared" si="6"/>
        <v>15133.64</v>
      </c>
      <c r="J37" s="215">
        <f t="shared" si="7"/>
        <v>15088.55</v>
      </c>
      <c r="K37" s="229">
        <f t="shared" si="3"/>
        <v>120663.32</v>
      </c>
      <c r="L37" s="103"/>
      <c r="M37" s="99"/>
      <c r="N37" s="149">
        <f>F37</f>
        <v>150885.51</v>
      </c>
      <c r="O37" s="101">
        <v>41454</v>
      </c>
      <c r="P37" s="102">
        <v>41471</v>
      </c>
      <c r="Q37" s="103"/>
      <c r="R37" s="104"/>
      <c r="S37" s="104"/>
      <c r="T37" s="105">
        <f>K37</f>
        <v>120663.32</v>
      </c>
      <c r="U37" s="109">
        <f t="shared" si="10"/>
        <v>7544.28</v>
      </c>
      <c r="V37" s="104">
        <v>7544.27</v>
      </c>
      <c r="W37" s="106"/>
      <c r="X37" s="106"/>
      <c r="Y37" s="106"/>
      <c r="Z37" s="107"/>
      <c r="AA37" s="136">
        <f t="shared" si="9"/>
        <v>15088.55</v>
      </c>
      <c r="AB37" s="196">
        <f t="shared" si="0"/>
        <v>15088.55</v>
      </c>
      <c r="AC37" s="185">
        <f t="shared" si="1"/>
        <v>0</v>
      </c>
      <c r="AD37" s="185">
        <f t="shared" si="2"/>
        <v>0</v>
      </c>
    </row>
    <row r="38" spans="1:31" s="80" customFormat="1" x14ac:dyDescent="0.25">
      <c r="A38" s="46" t="s">
        <v>76</v>
      </c>
      <c r="B38" s="47" t="s">
        <v>77</v>
      </c>
      <c r="C38" s="24"/>
      <c r="D38" s="162"/>
      <c r="E38" s="25"/>
      <c r="F38" s="25"/>
      <c r="G38" s="26">
        <f t="shared" si="5"/>
        <v>0</v>
      </c>
      <c r="H38" s="27">
        <v>0</v>
      </c>
      <c r="I38" s="220"/>
      <c r="J38" s="229">
        <f t="shared" si="7"/>
        <v>0</v>
      </c>
      <c r="K38" s="229">
        <f t="shared" si="3"/>
        <v>0</v>
      </c>
      <c r="L38" s="93"/>
      <c r="M38" s="90"/>
      <c r="N38" s="98"/>
      <c r="O38" s="91"/>
      <c r="P38" s="92"/>
      <c r="Q38" s="93"/>
      <c r="R38" s="29"/>
      <c r="S38" s="29"/>
      <c r="T38" s="94"/>
      <c r="U38" s="109">
        <f t="shared" si="10"/>
        <v>0</v>
      </c>
      <c r="V38" s="104">
        <v>0</v>
      </c>
      <c r="W38" s="106"/>
      <c r="X38" s="106"/>
      <c r="Y38" s="106"/>
      <c r="Z38" s="107"/>
      <c r="AA38" s="136">
        <f t="shared" si="9"/>
        <v>0</v>
      </c>
      <c r="AB38" s="196">
        <f t="shared" si="0"/>
        <v>0</v>
      </c>
      <c r="AC38" s="185">
        <f t="shared" si="1"/>
        <v>0</v>
      </c>
      <c r="AD38" s="185">
        <f t="shared" si="2"/>
        <v>0</v>
      </c>
    </row>
    <row r="39" spans="1:31" x14ac:dyDescent="0.25">
      <c r="A39" s="48" t="s">
        <v>78</v>
      </c>
      <c r="B39" s="49" t="s">
        <v>79</v>
      </c>
      <c r="C39" s="144" t="s">
        <v>288</v>
      </c>
      <c r="D39" s="163">
        <v>23762</v>
      </c>
      <c r="E39" s="145">
        <v>445.81</v>
      </c>
      <c r="F39" s="145">
        <f t="shared" si="4"/>
        <v>10593337.220000001</v>
      </c>
      <c r="G39" s="146">
        <f t="shared" si="5"/>
        <v>1062499.3999999999</v>
      </c>
      <c r="H39" s="147">
        <v>0</v>
      </c>
      <c r="I39" s="219">
        <f t="shared" si="6"/>
        <v>1062499.3999999999</v>
      </c>
      <c r="J39" s="215">
        <f t="shared" si="7"/>
        <v>1059333.72</v>
      </c>
      <c r="K39" s="229">
        <f t="shared" si="3"/>
        <v>8471504.0999999996</v>
      </c>
      <c r="L39" s="149">
        <f>$F$39*(R39/($R$39+$S$39+$T$39))</f>
        <v>3178001.17</v>
      </c>
      <c r="M39" s="150">
        <f>F39*0.3</f>
        <v>3178001.17</v>
      </c>
      <c r="N39" s="149">
        <f>F39*0.4-0.01</f>
        <v>4237334.88</v>
      </c>
      <c r="O39" s="101">
        <v>41378</v>
      </c>
      <c r="P39" s="102">
        <v>41467</v>
      </c>
      <c r="Q39" s="103"/>
      <c r="R39" s="104">
        <f>K39*0.3</f>
        <v>2541451.23</v>
      </c>
      <c r="S39" s="104">
        <f>K39*0.3</f>
        <v>2541451.23</v>
      </c>
      <c r="T39" s="105">
        <f>K39-R39-S39</f>
        <v>3388601.64</v>
      </c>
      <c r="U39" s="109">
        <f t="shared" si="10"/>
        <v>529666.86</v>
      </c>
      <c r="V39" s="104">
        <v>529666.86</v>
      </c>
      <c r="W39" s="106"/>
      <c r="X39" s="106"/>
      <c r="Y39" s="106"/>
      <c r="Z39" s="107"/>
      <c r="AA39" s="136">
        <f t="shared" si="9"/>
        <v>1059333.72</v>
      </c>
      <c r="AB39" s="196">
        <f t="shared" si="0"/>
        <v>1059333.72</v>
      </c>
      <c r="AC39" s="185">
        <f t="shared" si="1"/>
        <v>0</v>
      </c>
      <c r="AD39" s="185">
        <f t="shared" si="2"/>
        <v>0</v>
      </c>
      <c r="AE39" s="75">
        <f>R39/(R39+S39+T39)</f>
        <v>0.3</v>
      </c>
    </row>
    <row r="40" spans="1:31" s="80" customFormat="1" ht="47.25" x14ac:dyDescent="0.25">
      <c r="A40" s="46" t="s">
        <v>80</v>
      </c>
      <c r="B40" s="47" t="s">
        <v>81</v>
      </c>
      <c r="C40" s="24"/>
      <c r="D40" s="162"/>
      <c r="E40" s="25"/>
      <c r="F40" s="25"/>
      <c r="G40" s="26">
        <f t="shared" si="5"/>
        <v>0</v>
      </c>
      <c r="H40" s="27">
        <v>0</v>
      </c>
      <c r="I40" s="220"/>
      <c r="J40" s="229">
        <f t="shared" si="7"/>
        <v>0</v>
      </c>
      <c r="K40" s="229">
        <f t="shared" si="3"/>
        <v>0</v>
      </c>
      <c r="L40" s="93"/>
      <c r="M40" s="90"/>
      <c r="N40" s="98"/>
      <c r="O40" s="91"/>
      <c r="P40" s="92"/>
      <c r="Q40" s="93"/>
      <c r="R40" s="29"/>
      <c r="S40" s="29"/>
      <c r="T40" s="94"/>
      <c r="U40" s="109"/>
      <c r="V40" s="104"/>
      <c r="W40" s="106"/>
      <c r="X40" s="106"/>
      <c r="Y40" s="106"/>
      <c r="Z40" s="107"/>
      <c r="AA40" s="136"/>
      <c r="AB40" s="196">
        <f t="shared" si="0"/>
        <v>0</v>
      </c>
      <c r="AC40" s="185">
        <f t="shared" si="1"/>
        <v>0</v>
      </c>
      <c r="AD40" s="185">
        <f t="shared" si="2"/>
        <v>0</v>
      </c>
    </row>
    <row r="41" spans="1:31" ht="31.5" x14ac:dyDescent="0.25">
      <c r="A41" s="48" t="s">
        <v>82</v>
      </c>
      <c r="B41" s="49" t="s">
        <v>83</v>
      </c>
      <c r="C41" s="144" t="s">
        <v>290</v>
      </c>
      <c r="D41" s="163">
        <v>350</v>
      </c>
      <c r="E41" s="145">
        <v>0.89</v>
      </c>
      <c r="F41" s="145">
        <f t="shared" si="4"/>
        <v>311.5</v>
      </c>
      <c r="G41" s="146">
        <f t="shared" si="5"/>
        <v>31.24</v>
      </c>
      <c r="H41" s="147">
        <v>0</v>
      </c>
      <c r="I41" s="219">
        <f t="shared" si="6"/>
        <v>31.24</v>
      </c>
      <c r="J41" s="215">
        <f t="shared" si="7"/>
        <v>31.15</v>
      </c>
      <c r="K41" s="229">
        <f t="shared" si="3"/>
        <v>249.11</v>
      </c>
      <c r="L41" s="103"/>
      <c r="M41" s="99"/>
      <c r="N41" s="149">
        <f>F41</f>
        <v>311.5</v>
      </c>
      <c r="O41" s="101">
        <v>41471</v>
      </c>
      <c r="P41" s="102">
        <v>41474</v>
      </c>
      <c r="Q41" s="103"/>
      <c r="R41" s="104"/>
      <c r="S41" s="104"/>
      <c r="T41" s="105">
        <f>K41</f>
        <v>249.11</v>
      </c>
      <c r="U41" s="109">
        <f>J41*0.5</f>
        <v>15.58</v>
      </c>
      <c r="V41" s="104">
        <v>15.57</v>
      </c>
      <c r="W41" s="106"/>
      <c r="X41" s="106"/>
      <c r="Y41" s="106"/>
      <c r="Z41" s="107"/>
      <c r="AA41" s="136">
        <f t="shared" si="9"/>
        <v>31.15</v>
      </c>
      <c r="AB41" s="196">
        <f t="shared" si="0"/>
        <v>31.15</v>
      </c>
      <c r="AC41" s="185">
        <f t="shared" si="1"/>
        <v>0</v>
      </c>
      <c r="AD41" s="185">
        <f t="shared" si="2"/>
        <v>0</v>
      </c>
    </row>
    <row r="42" spans="1:31" ht="47.25" x14ac:dyDescent="0.25">
      <c r="A42" s="48" t="s">
        <v>84</v>
      </c>
      <c r="B42" s="49" t="s">
        <v>85</v>
      </c>
      <c r="C42" s="144" t="s">
        <v>288</v>
      </c>
      <c r="D42" s="163">
        <v>44341</v>
      </c>
      <c r="E42" s="145">
        <v>22.63</v>
      </c>
      <c r="F42" s="145">
        <f t="shared" si="4"/>
        <v>1003436.83</v>
      </c>
      <c r="G42" s="146">
        <f t="shared" si="5"/>
        <v>100643.55</v>
      </c>
      <c r="H42" s="147">
        <v>0</v>
      </c>
      <c r="I42" s="219">
        <f t="shared" si="6"/>
        <v>100643.55</v>
      </c>
      <c r="J42" s="215">
        <f t="shared" si="7"/>
        <v>100343.67999999999</v>
      </c>
      <c r="K42" s="229">
        <f t="shared" si="3"/>
        <v>802449.6</v>
      </c>
      <c r="L42" s="103"/>
      <c r="M42" s="99"/>
      <c r="N42" s="149">
        <f>F42</f>
        <v>1003436.83</v>
      </c>
      <c r="O42" s="101">
        <v>41471</v>
      </c>
      <c r="P42" s="102">
        <v>41474</v>
      </c>
      <c r="Q42" s="103"/>
      <c r="R42" s="104"/>
      <c r="S42" s="104"/>
      <c r="T42" s="105">
        <f>K42</f>
        <v>802449.6</v>
      </c>
      <c r="U42" s="109">
        <f>J42*0.5</f>
        <v>50171.839999999997</v>
      </c>
      <c r="V42" s="104">
        <v>50171.839999999997</v>
      </c>
      <c r="W42" s="106"/>
      <c r="X42" s="106"/>
      <c r="Y42" s="106"/>
      <c r="Z42" s="107"/>
      <c r="AA42" s="136">
        <f t="shared" si="9"/>
        <v>100343.67999999999</v>
      </c>
      <c r="AB42" s="196">
        <f t="shared" si="0"/>
        <v>100343.67999999999</v>
      </c>
      <c r="AC42" s="185">
        <f t="shared" si="1"/>
        <v>0</v>
      </c>
      <c r="AD42" s="185">
        <f t="shared" si="2"/>
        <v>0</v>
      </c>
    </row>
    <row r="43" spans="1:31" ht="63.75" thickBot="1" x14ac:dyDescent="0.3">
      <c r="A43" s="48" t="s">
        <v>86</v>
      </c>
      <c r="B43" s="49" t="s">
        <v>87</v>
      </c>
      <c r="C43" s="144" t="s">
        <v>289</v>
      </c>
      <c r="D43" s="163">
        <v>70945</v>
      </c>
      <c r="E43" s="145">
        <v>116.24</v>
      </c>
      <c r="F43" s="145">
        <f>ROUND(D43*E43,2)</f>
        <v>8246646.7999999998</v>
      </c>
      <c r="G43" s="151">
        <f t="shared" si="5"/>
        <v>827129.08</v>
      </c>
      <c r="H43" s="152">
        <v>0</v>
      </c>
      <c r="I43" s="221">
        <f t="shared" si="6"/>
        <v>827129.08</v>
      </c>
      <c r="J43" s="215">
        <f t="shared" si="7"/>
        <v>824664.68</v>
      </c>
      <c r="K43" s="229">
        <f t="shared" si="3"/>
        <v>6594853.04</v>
      </c>
      <c r="L43" s="103"/>
      <c r="M43" s="99"/>
      <c r="N43" s="149">
        <f>F43</f>
        <v>8246646.7999999998</v>
      </c>
      <c r="O43" s="101">
        <v>41471</v>
      </c>
      <c r="P43" s="102">
        <v>41474</v>
      </c>
      <c r="Q43" s="103"/>
      <c r="R43" s="104"/>
      <c r="S43" s="104"/>
      <c r="T43" s="105">
        <f>K43</f>
        <v>6594853.04</v>
      </c>
      <c r="U43" s="137">
        <f>J43*0.5</f>
        <v>412332.34</v>
      </c>
      <c r="V43" s="138">
        <v>412332.34</v>
      </c>
      <c r="W43" s="106"/>
      <c r="X43" s="106"/>
      <c r="Y43" s="106"/>
      <c r="Z43" s="107"/>
      <c r="AA43" s="136">
        <f t="shared" si="9"/>
        <v>824664.68</v>
      </c>
      <c r="AB43" s="196">
        <f t="shared" si="0"/>
        <v>824664.68</v>
      </c>
      <c r="AC43" s="185">
        <f t="shared" si="1"/>
        <v>0</v>
      </c>
      <c r="AD43" s="185">
        <f t="shared" si="2"/>
        <v>0</v>
      </c>
    </row>
    <row r="44" spans="1:31" x14ac:dyDescent="0.25">
      <c r="A44" s="45" t="s">
        <v>88</v>
      </c>
      <c r="B44" s="5" t="s">
        <v>89</v>
      </c>
      <c r="C44" s="8"/>
      <c r="D44" s="161"/>
      <c r="E44" s="4"/>
      <c r="F44" s="4"/>
      <c r="G44" s="1">
        <f t="shared" si="5"/>
        <v>0</v>
      </c>
      <c r="H44" s="2">
        <v>0</v>
      </c>
      <c r="I44" s="224">
        <f t="shared" si="6"/>
        <v>0</v>
      </c>
      <c r="J44" s="3">
        <f t="shared" si="7"/>
        <v>0</v>
      </c>
      <c r="K44" s="233">
        <f t="shared" si="3"/>
        <v>0</v>
      </c>
      <c r="L44" s="85"/>
      <c r="M44" s="7"/>
      <c r="N44" s="82"/>
      <c r="O44" s="83"/>
      <c r="P44" s="84"/>
      <c r="Q44" s="85"/>
      <c r="R44" s="7"/>
      <c r="S44" s="7"/>
      <c r="T44" s="86"/>
      <c r="U44" s="6"/>
      <c r="V44" s="7"/>
      <c r="W44" s="87"/>
      <c r="X44" s="87"/>
      <c r="Y44" s="87"/>
      <c r="Z44" s="88"/>
      <c r="AA44" s="89"/>
      <c r="AB44" s="191">
        <f t="shared" si="0"/>
        <v>0</v>
      </c>
      <c r="AC44" s="184">
        <f t="shared" si="1"/>
        <v>0</v>
      </c>
      <c r="AD44" s="184">
        <f t="shared" si="2"/>
        <v>0</v>
      </c>
    </row>
    <row r="45" spans="1:31" s="80" customFormat="1" x14ac:dyDescent="0.25">
      <c r="A45" s="46" t="s">
        <v>14</v>
      </c>
      <c r="B45" s="47" t="s">
        <v>90</v>
      </c>
      <c r="C45" s="24"/>
      <c r="D45" s="162"/>
      <c r="E45" s="25"/>
      <c r="F45" s="25"/>
      <c r="G45" s="26">
        <f t="shared" si="5"/>
        <v>0</v>
      </c>
      <c r="H45" s="27">
        <v>0</v>
      </c>
      <c r="I45" s="220">
        <f t="shared" si="6"/>
        <v>0</v>
      </c>
      <c r="J45" s="229">
        <f t="shared" si="7"/>
        <v>0</v>
      </c>
      <c r="K45" s="229">
        <f t="shared" si="3"/>
        <v>0</v>
      </c>
      <c r="L45" s="93"/>
      <c r="M45" s="90"/>
      <c r="N45" s="98"/>
      <c r="O45" s="91"/>
      <c r="P45" s="92"/>
      <c r="Q45" s="93"/>
      <c r="R45" s="29"/>
      <c r="S45" s="29"/>
      <c r="T45" s="94"/>
      <c r="U45" s="109"/>
      <c r="V45" s="104"/>
      <c r="W45" s="106"/>
      <c r="X45" s="106"/>
      <c r="Y45" s="106"/>
      <c r="Z45" s="107"/>
      <c r="AA45" s="136"/>
      <c r="AB45" s="196">
        <f t="shared" si="0"/>
        <v>0</v>
      </c>
      <c r="AC45" s="185">
        <f t="shared" si="1"/>
        <v>0</v>
      </c>
      <c r="AD45" s="185">
        <f t="shared" si="2"/>
        <v>0</v>
      </c>
    </row>
    <row r="46" spans="1:31" x14ac:dyDescent="0.25">
      <c r="A46" s="48" t="s">
        <v>91</v>
      </c>
      <c r="B46" s="49" t="s">
        <v>90</v>
      </c>
      <c r="C46" s="24" t="s">
        <v>287</v>
      </c>
      <c r="D46" s="162">
        <v>1</v>
      </c>
      <c r="E46" s="25">
        <v>3562032.36</v>
      </c>
      <c r="F46" s="25">
        <f t="shared" ref="F46:F52" si="11">ROUND(D46*E46,2)</f>
        <v>3562032.36</v>
      </c>
      <c r="G46" s="26">
        <f t="shared" si="5"/>
        <v>357267.7</v>
      </c>
      <c r="H46" s="27">
        <v>0</v>
      </c>
      <c r="I46" s="220">
        <f t="shared" si="6"/>
        <v>357267.7</v>
      </c>
      <c r="J46" s="229">
        <f t="shared" si="7"/>
        <v>356203.24</v>
      </c>
      <c r="K46" s="229">
        <f t="shared" si="3"/>
        <v>2848561.42</v>
      </c>
      <c r="L46" s="232">
        <f>F46</f>
        <v>3562032.36</v>
      </c>
      <c r="M46" s="108"/>
      <c r="N46" s="100"/>
      <c r="O46" s="101">
        <v>41384</v>
      </c>
      <c r="P46" s="102">
        <v>41399</v>
      </c>
      <c r="Q46" s="103"/>
      <c r="R46" s="104">
        <f>K46</f>
        <v>2848561.42</v>
      </c>
      <c r="S46" s="104"/>
      <c r="T46" s="105"/>
      <c r="U46" s="109">
        <f>J46*0.5</f>
        <v>178101.62</v>
      </c>
      <c r="V46" s="104">
        <v>178101.62</v>
      </c>
      <c r="W46" s="106"/>
      <c r="X46" s="106"/>
      <c r="Y46" s="106"/>
      <c r="Z46" s="107"/>
      <c r="AA46" s="136">
        <f t="shared" si="9"/>
        <v>356203.24</v>
      </c>
      <c r="AB46" s="196">
        <f t="shared" si="0"/>
        <v>356203.24</v>
      </c>
      <c r="AC46" s="185">
        <f t="shared" si="1"/>
        <v>0</v>
      </c>
      <c r="AD46" s="185">
        <f t="shared" si="2"/>
        <v>0</v>
      </c>
    </row>
    <row r="47" spans="1:31" s="80" customFormat="1" ht="47.25" x14ac:dyDescent="0.25">
      <c r="A47" s="46" t="s">
        <v>15</v>
      </c>
      <c r="B47" s="47" t="s">
        <v>92</v>
      </c>
      <c r="C47" s="24"/>
      <c r="D47" s="162"/>
      <c r="E47" s="25"/>
      <c r="F47" s="25"/>
      <c r="G47" s="26">
        <f t="shared" si="5"/>
        <v>0</v>
      </c>
      <c r="H47" s="27">
        <v>0</v>
      </c>
      <c r="I47" s="220"/>
      <c r="J47" s="229">
        <f t="shared" si="7"/>
        <v>0</v>
      </c>
      <c r="K47" s="229">
        <f t="shared" si="3"/>
        <v>0</v>
      </c>
      <c r="L47" s="93"/>
      <c r="M47" s="90"/>
      <c r="N47" s="98"/>
      <c r="O47" s="91"/>
      <c r="P47" s="92"/>
      <c r="Q47" s="93"/>
      <c r="R47" s="29"/>
      <c r="S47" s="29"/>
      <c r="T47" s="94"/>
      <c r="U47" s="109"/>
      <c r="V47" s="104"/>
      <c r="W47" s="106"/>
      <c r="X47" s="106"/>
      <c r="Y47" s="106"/>
      <c r="Z47" s="107"/>
      <c r="AA47" s="136"/>
      <c r="AB47" s="196">
        <f t="shared" si="0"/>
        <v>0</v>
      </c>
      <c r="AC47" s="185">
        <f t="shared" si="1"/>
        <v>0</v>
      </c>
      <c r="AD47" s="185">
        <f t="shared" si="2"/>
        <v>0</v>
      </c>
    </row>
    <row r="48" spans="1:31" ht="63" x14ac:dyDescent="0.25">
      <c r="A48" s="48" t="s">
        <v>93</v>
      </c>
      <c r="B48" s="49" t="s">
        <v>94</v>
      </c>
      <c r="C48" s="144" t="s">
        <v>291</v>
      </c>
      <c r="D48" s="163">
        <v>6691.44</v>
      </c>
      <c r="E48" s="145">
        <v>28170.03</v>
      </c>
      <c r="F48" s="145">
        <f t="shared" si="11"/>
        <v>188498065.53999999</v>
      </c>
      <c r="G48" s="146">
        <f t="shared" si="5"/>
        <v>18906136.620000001</v>
      </c>
      <c r="H48" s="147">
        <v>0</v>
      </c>
      <c r="I48" s="219">
        <f t="shared" si="6"/>
        <v>18906136.620000001</v>
      </c>
      <c r="J48" s="215">
        <f t="shared" si="7"/>
        <v>18849806.550000001</v>
      </c>
      <c r="K48" s="229">
        <f t="shared" si="3"/>
        <v>150742122.37</v>
      </c>
      <c r="L48" s="149">
        <f>F48</f>
        <v>188498065.53999999</v>
      </c>
      <c r="M48" s="148"/>
      <c r="N48" s="100"/>
      <c r="O48" s="101">
        <v>41386</v>
      </c>
      <c r="P48" s="102">
        <v>41414</v>
      </c>
      <c r="Q48" s="103"/>
      <c r="R48" s="104">
        <f>K48</f>
        <v>150742122.37</v>
      </c>
      <c r="S48" s="104"/>
      <c r="T48" s="105"/>
      <c r="U48" s="109">
        <f>J48*0.5</f>
        <v>9424903.2799999993</v>
      </c>
      <c r="V48" s="104">
        <v>9424903.2699999996</v>
      </c>
      <c r="W48" s="106"/>
      <c r="X48" s="106"/>
      <c r="Y48" s="106"/>
      <c r="Z48" s="107"/>
      <c r="AA48" s="136">
        <f t="shared" si="9"/>
        <v>18849806.550000001</v>
      </c>
      <c r="AB48" s="196">
        <f t="shared" ref="AB48:AB79" si="12">F48-I48-K48</f>
        <v>18849806.550000001</v>
      </c>
      <c r="AC48" s="185">
        <f t="shared" ref="AC48:AC79" si="13">J48-AA48</f>
        <v>0</v>
      </c>
      <c r="AD48" s="185">
        <f t="shared" ref="AD48:AD79" si="14">J48-AA48</f>
        <v>0</v>
      </c>
    </row>
    <row r="49" spans="1:30" ht="47.25" x14ac:dyDescent="0.25">
      <c r="A49" s="48" t="s">
        <v>95</v>
      </c>
      <c r="B49" s="49" t="s">
        <v>96</v>
      </c>
      <c r="C49" s="144" t="s">
        <v>292</v>
      </c>
      <c r="D49" s="163">
        <v>2276</v>
      </c>
      <c r="E49" s="145">
        <v>1419.77</v>
      </c>
      <c r="F49" s="145">
        <f t="shared" si="11"/>
        <v>3231396.52</v>
      </c>
      <c r="G49" s="146">
        <f t="shared" si="5"/>
        <v>324105.31</v>
      </c>
      <c r="H49" s="147">
        <v>0</v>
      </c>
      <c r="I49" s="219">
        <f t="shared" si="6"/>
        <v>324105.31</v>
      </c>
      <c r="J49" s="215">
        <f t="shared" si="7"/>
        <v>323139.65000000002</v>
      </c>
      <c r="K49" s="229">
        <f t="shared" si="3"/>
        <v>2584151.56</v>
      </c>
      <c r="L49" s="149">
        <f>F49</f>
        <v>3231396.52</v>
      </c>
      <c r="M49" s="148"/>
      <c r="N49" s="100"/>
      <c r="O49" s="101">
        <v>41392</v>
      </c>
      <c r="P49" s="102">
        <v>41419</v>
      </c>
      <c r="Q49" s="103"/>
      <c r="R49" s="104">
        <f>K49</f>
        <v>2584151.56</v>
      </c>
      <c r="S49" s="104"/>
      <c r="T49" s="105"/>
      <c r="U49" s="109">
        <f>J49*0.5</f>
        <v>161569.82999999999</v>
      </c>
      <c r="V49" s="104">
        <v>161569.82</v>
      </c>
      <c r="W49" s="106"/>
      <c r="X49" s="106"/>
      <c r="Y49" s="106"/>
      <c r="Z49" s="107"/>
      <c r="AA49" s="136">
        <f t="shared" si="9"/>
        <v>323139.65000000002</v>
      </c>
      <c r="AB49" s="196">
        <f t="shared" si="12"/>
        <v>323139.65000000002</v>
      </c>
      <c r="AC49" s="185">
        <f t="shared" si="13"/>
        <v>0</v>
      </c>
      <c r="AD49" s="185">
        <f t="shared" si="14"/>
        <v>0</v>
      </c>
    </row>
    <row r="50" spans="1:30" s="80" customFormat="1" ht="31.5" x14ac:dyDescent="0.25">
      <c r="A50" s="46" t="s">
        <v>16</v>
      </c>
      <c r="B50" s="47" t="s">
        <v>97</v>
      </c>
      <c r="C50" s="24"/>
      <c r="D50" s="162"/>
      <c r="E50" s="25"/>
      <c r="F50" s="25"/>
      <c r="G50" s="26">
        <f t="shared" si="5"/>
        <v>0</v>
      </c>
      <c r="H50" s="27"/>
      <c r="I50" s="220"/>
      <c r="J50" s="229">
        <f t="shared" si="7"/>
        <v>0</v>
      </c>
      <c r="K50" s="229">
        <f t="shared" ref="K50:K81" si="15">F50-I50-J50</f>
        <v>0</v>
      </c>
      <c r="L50" s="93"/>
      <c r="M50" s="90"/>
      <c r="N50" s="98"/>
      <c r="O50" s="91"/>
      <c r="P50" s="92"/>
      <c r="Q50" s="93"/>
      <c r="R50" s="29"/>
      <c r="S50" s="29"/>
      <c r="T50" s="94"/>
      <c r="U50" s="109"/>
      <c r="V50" s="104"/>
      <c r="W50" s="106"/>
      <c r="X50" s="106"/>
      <c r="Y50" s="106"/>
      <c r="Z50" s="107"/>
      <c r="AA50" s="136"/>
      <c r="AB50" s="196">
        <f t="shared" si="12"/>
        <v>0</v>
      </c>
      <c r="AC50" s="185">
        <f t="shared" si="13"/>
        <v>0</v>
      </c>
      <c r="AD50" s="185">
        <f t="shared" si="14"/>
        <v>0</v>
      </c>
    </row>
    <row r="51" spans="1:30" ht="78.75" x14ac:dyDescent="0.25">
      <c r="A51" s="48" t="s">
        <v>98</v>
      </c>
      <c r="B51" s="49" t="s">
        <v>99</v>
      </c>
      <c r="C51" s="144" t="s">
        <v>293</v>
      </c>
      <c r="D51" s="163">
        <v>577.71</v>
      </c>
      <c r="E51" s="145">
        <v>16785.53</v>
      </c>
      <c r="F51" s="145">
        <f t="shared" si="11"/>
        <v>9697168.5399999991</v>
      </c>
      <c r="G51" s="146">
        <f t="shared" ref="G51:G82" si="16">F51*$AE$6</f>
        <v>972614.72</v>
      </c>
      <c r="H51" s="147">
        <v>0</v>
      </c>
      <c r="I51" s="219">
        <f t="shared" si="6"/>
        <v>972614.72</v>
      </c>
      <c r="J51" s="215">
        <f t="shared" si="7"/>
        <v>969716.85</v>
      </c>
      <c r="K51" s="229">
        <f t="shared" si="15"/>
        <v>7754836.9699999997</v>
      </c>
      <c r="L51" s="149">
        <f>F51</f>
        <v>9697168.5399999991</v>
      </c>
      <c r="M51" s="148"/>
      <c r="N51" s="100"/>
      <c r="O51" s="101">
        <v>41386</v>
      </c>
      <c r="P51" s="102">
        <v>41414</v>
      </c>
      <c r="Q51" s="103"/>
      <c r="R51" s="104">
        <f>K51</f>
        <v>7754836.9699999997</v>
      </c>
      <c r="S51" s="104"/>
      <c r="T51" s="105"/>
      <c r="U51" s="109">
        <f>J51*0.5</f>
        <v>484858.43</v>
      </c>
      <c r="V51" s="104">
        <v>484858.42</v>
      </c>
      <c r="W51" s="106"/>
      <c r="X51" s="106"/>
      <c r="Y51" s="106"/>
      <c r="Z51" s="107"/>
      <c r="AA51" s="136">
        <f t="shared" si="9"/>
        <v>969716.85</v>
      </c>
      <c r="AB51" s="196">
        <f t="shared" si="12"/>
        <v>969716.85</v>
      </c>
      <c r="AC51" s="185">
        <f t="shared" si="13"/>
        <v>0</v>
      </c>
      <c r="AD51" s="185">
        <f t="shared" si="14"/>
        <v>0</v>
      </c>
    </row>
    <row r="52" spans="1:30" ht="48" thickBot="1" x14ac:dyDescent="0.3">
      <c r="A52" s="48" t="s">
        <v>100</v>
      </c>
      <c r="B52" s="49" t="s">
        <v>96</v>
      </c>
      <c r="C52" s="144" t="s">
        <v>292</v>
      </c>
      <c r="D52" s="163">
        <v>393</v>
      </c>
      <c r="E52" s="145">
        <v>1419.77</v>
      </c>
      <c r="F52" s="145">
        <f t="shared" si="11"/>
        <v>557969.61</v>
      </c>
      <c r="G52" s="146">
        <f t="shared" si="16"/>
        <v>55963.7</v>
      </c>
      <c r="H52" s="147">
        <v>0</v>
      </c>
      <c r="I52" s="219">
        <f t="shared" si="6"/>
        <v>55963.7</v>
      </c>
      <c r="J52" s="215">
        <f t="shared" si="7"/>
        <v>55796.959999999999</v>
      </c>
      <c r="K52" s="229">
        <f t="shared" si="15"/>
        <v>446208.95</v>
      </c>
      <c r="L52" s="149">
        <f>F52</f>
        <v>557969.61</v>
      </c>
      <c r="M52" s="148"/>
      <c r="N52" s="100"/>
      <c r="O52" s="101">
        <v>41392</v>
      </c>
      <c r="P52" s="102">
        <v>41419</v>
      </c>
      <c r="Q52" s="103"/>
      <c r="R52" s="104">
        <f>K52</f>
        <v>446208.95</v>
      </c>
      <c r="S52" s="104"/>
      <c r="T52" s="105"/>
      <c r="U52" s="137">
        <f>J52*0.5</f>
        <v>27898.48</v>
      </c>
      <c r="V52" s="138">
        <v>27898.48</v>
      </c>
      <c r="W52" s="139"/>
      <c r="X52" s="139"/>
      <c r="Y52" s="139"/>
      <c r="Z52" s="140"/>
      <c r="AA52" s="141">
        <f t="shared" si="9"/>
        <v>55796.959999999999</v>
      </c>
      <c r="AB52" s="196">
        <f t="shared" si="12"/>
        <v>55796.959999999999</v>
      </c>
      <c r="AC52" s="185">
        <f t="shared" si="13"/>
        <v>0</v>
      </c>
      <c r="AD52" s="185">
        <f t="shared" si="14"/>
        <v>0</v>
      </c>
    </row>
    <row r="53" spans="1:30" x14ac:dyDescent="0.25">
      <c r="A53" s="45" t="s">
        <v>101</v>
      </c>
      <c r="B53" s="5" t="s">
        <v>102</v>
      </c>
      <c r="C53" s="8"/>
      <c r="D53" s="161"/>
      <c r="E53" s="4"/>
      <c r="F53" s="4"/>
      <c r="G53" s="1">
        <f t="shared" si="16"/>
        <v>0</v>
      </c>
      <c r="H53" s="2">
        <v>0</v>
      </c>
      <c r="I53" s="224"/>
      <c r="J53" s="3">
        <f t="shared" si="7"/>
        <v>0</v>
      </c>
      <c r="K53" s="233">
        <f t="shared" si="15"/>
        <v>0</v>
      </c>
      <c r="L53" s="85"/>
      <c r="M53" s="7"/>
      <c r="N53" s="82"/>
      <c r="O53" s="83"/>
      <c r="P53" s="84"/>
      <c r="Q53" s="85"/>
      <c r="R53" s="7"/>
      <c r="S53" s="7"/>
      <c r="T53" s="86"/>
      <c r="U53" s="6"/>
      <c r="V53" s="7"/>
      <c r="W53" s="87"/>
      <c r="X53" s="87"/>
      <c r="Y53" s="87"/>
      <c r="Z53" s="88"/>
      <c r="AA53" s="89"/>
      <c r="AB53" s="191">
        <f t="shared" si="12"/>
        <v>0</v>
      </c>
      <c r="AC53" s="184">
        <f t="shared" si="13"/>
        <v>0</v>
      </c>
      <c r="AD53" s="184">
        <f t="shared" si="14"/>
        <v>0</v>
      </c>
    </row>
    <row r="54" spans="1:30" s="80" customFormat="1" x14ac:dyDescent="0.25">
      <c r="A54" s="46" t="s">
        <v>17</v>
      </c>
      <c r="B54" s="47" t="s">
        <v>103</v>
      </c>
      <c r="C54" s="24"/>
      <c r="D54" s="162"/>
      <c r="E54" s="25"/>
      <c r="F54" s="25"/>
      <c r="G54" s="26">
        <f t="shared" si="16"/>
        <v>0</v>
      </c>
      <c r="H54" s="27">
        <v>0</v>
      </c>
      <c r="I54" s="220"/>
      <c r="J54" s="229">
        <f t="shared" si="7"/>
        <v>0</v>
      </c>
      <c r="K54" s="229">
        <f t="shared" si="15"/>
        <v>0</v>
      </c>
      <c r="L54" s="93"/>
      <c r="M54" s="90"/>
      <c r="N54" s="98"/>
      <c r="O54" s="91"/>
      <c r="P54" s="92"/>
      <c r="Q54" s="93"/>
      <c r="R54" s="29"/>
      <c r="S54" s="29"/>
      <c r="T54" s="94"/>
      <c r="U54" s="109">
        <f t="shared" ref="U54:U65" si="17">J54*0.5</f>
        <v>0</v>
      </c>
      <c r="V54" s="104">
        <v>0</v>
      </c>
      <c r="W54" s="106"/>
      <c r="X54" s="106"/>
      <c r="Y54" s="106"/>
      <c r="Z54" s="107"/>
      <c r="AA54" s="136">
        <f t="shared" si="9"/>
        <v>0</v>
      </c>
      <c r="AB54" s="196">
        <f t="shared" si="12"/>
        <v>0</v>
      </c>
      <c r="AC54" s="185">
        <f t="shared" si="13"/>
        <v>0</v>
      </c>
      <c r="AD54" s="185">
        <f t="shared" si="14"/>
        <v>0</v>
      </c>
    </row>
    <row r="55" spans="1:30" ht="31.5" x14ac:dyDescent="0.25">
      <c r="A55" s="48" t="s">
        <v>104</v>
      </c>
      <c r="B55" s="49" t="s">
        <v>105</v>
      </c>
      <c r="C55" s="144" t="s">
        <v>288</v>
      </c>
      <c r="D55" s="163">
        <v>0.38</v>
      </c>
      <c r="E55" s="145">
        <v>1804.86</v>
      </c>
      <c r="F55" s="145">
        <f t="shared" ref="F55:F118" si="18">ROUND(D55*E55,2)</f>
        <v>685.85</v>
      </c>
      <c r="G55" s="146">
        <f t="shared" si="16"/>
        <v>68.790000000000006</v>
      </c>
      <c r="H55" s="147">
        <v>0</v>
      </c>
      <c r="I55" s="219">
        <f t="shared" si="6"/>
        <v>68.790000000000006</v>
      </c>
      <c r="J55" s="215">
        <f t="shared" si="7"/>
        <v>68.59</v>
      </c>
      <c r="K55" s="229">
        <f t="shared" si="15"/>
        <v>548.47</v>
      </c>
      <c r="L55" s="103"/>
      <c r="M55" s="150">
        <f t="shared" ref="M55:M65" si="19">F55</f>
        <v>685.85</v>
      </c>
      <c r="N55" s="100"/>
      <c r="O55" s="101">
        <v>41422</v>
      </c>
      <c r="P55" s="102">
        <v>41423</v>
      </c>
      <c r="Q55" s="103"/>
      <c r="R55" s="104"/>
      <c r="S55" s="104">
        <f t="shared" ref="S55:S65" si="20">K55</f>
        <v>548.47</v>
      </c>
      <c r="T55" s="105"/>
      <c r="U55" s="109">
        <f t="shared" si="17"/>
        <v>34.299999999999997</v>
      </c>
      <c r="V55" s="104">
        <v>34.29</v>
      </c>
      <c r="W55" s="106"/>
      <c r="X55" s="106"/>
      <c r="Y55" s="106"/>
      <c r="Z55" s="107"/>
      <c r="AA55" s="136">
        <f t="shared" si="9"/>
        <v>68.59</v>
      </c>
      <c r="AB55" s="196">
        <f t="shared" si="12"/>
        <v>68.59</v>
      </c>
      <c r="AC55" s="185">
        <f t="shared" si="13"/>
        <v>0</v>
      </c>
      <c r="AD55" s="185">
        <f t="shared" si="14"/>
        <v>0</v>
      </c>
    </row>
    <row r="56" spans="1:30" ht="31.5" x14ac:dyDescent="0.25">
      <c r="A56" s="48" t="s">
        <v>106</v>
      </c>
      <c r="B56" s="49" t="s">
        <v>107</v>
      </c>
      <c r="C56" s="144" t="s">
        <v>288</v>
      </c>
      <c r="D56" s="163">
        <v>0.38</v>
      </c>
      <c r="E56" s="145">
        <v>4309.76</v>
      </c>
      <c r="F56" s="145">
        <f t="shared" si="18"/>
        <v>1637.71</v>
      </c>
      <c r="G56" s="146">
        <f t="shared" si="16"/>
        <v>164.26</v>
      </c>
      <c r="H56" s="147">
        <v>0</v>
      </c>
      <c r="I56" s="219">
        <f t="shared" si="6"/>
        <v>164.26</v>
      </c>
      <c r="J56" s="215">
        <f t="shared" si="7"/>
        <v>163.77000000000001</v>
      </c>
      <c r="K56" s="229">
        <f t="shared" si="15"/>
        <v>1309.68</v>
      </c>
      <c r="L56" s="103"/>
      <c r="M56" s="150">
        <f t="shared" si="19"/>
        <v>1637.71</v>
      </c>
      <c r="N56" s="100"/>
      <c r="O56" s="101">
        <v>41423</v>
      </c>
      <c r="P56" s="102">
        <v>41424</v>
      </c>
      <c r="Q56" s="103"/>
      <c r="R56" s="104"/>
      <c r="S56" s="104">
        <f t="shared" si="20"/>
        <v>1309.68</v>
      </c>
      <c r="T56" s="105"/>
      <c r="U56" s="109">
        <f t="shared" si="17"/>
        <v>81.89</v>
      </c>
      <c r="V56" s="104">
        <v>81.88</v>
      </c>
      <c r="W56" s="106"/>
      <c r="X56" s="106"/>
      <c r="Y56" s="106"/>
      <c r="Z56" s="107"/>
      <c r="AA56" s="136">
        <f t="shared" si="9"/>
        <v>163.77000000000001</v>
      </c>
      <c r="AB56" s="196">
        <f t="shared" si="12"/>
        <v>163.77000000000001</v>
      </c>
      <c r="AC56" s="185">
        <f t="shared" si="13"/>
        <v>0</v>
      </c>
      <c r="AD56" s="185">
        <f t="shared" si="14"/>
        <v>0</v>
      </c>
    </row>
    <row r="57" spans="1:30" ht="31.5" x14ac:dyDescent="0.25">
      <c r="A57" s="48" t="s">
        <v>108</v>
      </c>
      <c r="B57" s="49" t="s">
        <v>109</v>
      </c>
      <c r="C57" s="144" t="s">
        <v>290</v>
      </c>
      <c r="D57" s="163">
        <v>14.04</v>
      </c>
      <c r="E57" s="145">
        <v>105.1</v>
      </c>
      <c r="F57" s="145">
        <f t="shared" si="18"/>
        <v>1475.6</v>
      </c>
      <c r="G57" s="146">
        <f t="shared" si="16"/>
        <v>148</v>
      </c>
      <c r="H57" s="147">
        <v>0</v>
      </c>
      <c r="I57" s="219">
        <f t="shared" si="6"/>
        <v>148</v>
      </c>
      <c r="J57" s="215">
        <f t="shared" si="7"/>
        <v>147.56</v>
      </c>
      <c r="K57" s="229">
        <f t="shared" si="15"/>
        <v>1180.04</v>
      </c>
      <c r="L57" s="103"/>
      <c r="M57" s="150">
        <f t="shared" si="19"/>
        <v>1475.6</v>
      </c>
      <c r="N57" s="154"/>
      <c r="O57" s="101">
        <v>41436</v>
      </c>
      <c r="P57" s="102">
        <v>41437</v>
      </c>
      <c r="Q57" s="103"/>
      <c r="R57" s="104"/>
      <c r="S57" s="104">
        <f t="shared" si="20"/>
        <v>1180.04</v>
      </c>
      <c r="T57" s="105"/>
      <c r="U57" s="109">
        <f t="shared" si="17"/>
        <v>73.78</v>
      </c>
      <c r="V57" s="104">
        <v>73.78</v>
      </c>
      <c r="W57" s="106"/>
      <c r="X57" s="106"/>
      <c r="Y57" s="106"/>
      <c r="Z57" s="107"/>
      <c r="AA57" s="136">
        <f t="shared" si="9"/>
        <v>147.56</v>
      </c>
      <c r="AB57" s="196">
        <f t="shared" si="12"/>
        <v>147.56</v>
      </c>
      <c r="AC57" s="185">
        <f t="shared" si="13"/>
        <v>0</v>
      </c>
      <c r="AD57" s="185">
        <f t="shared" si="14"/>
        <v>0</v>
      </c>
    </row>
    <row r="58" spans="1:30" ht="31.5" x14ac:dyDescent="0.25">
      <c r="A58" s="48" t="s">
        <v>110</v>
      </c>
      <c r="B58" s="49" t="s">
        <v>111</v>
      </c>
      <c r="C58" s="144" t="s">
        <v>290</v>
      </c>
      <c r="D58" s="163">
        <v>14.04</v>
      </c>
      <c r="E58" s="145">
        <v>1436.37</v>
      </c>
      <c r="F58" s="145">
        <f t="shared" si="18"/>
        <v>20166.63</v>
      </c>
      <c r="G58" s="146">
        <f t="shared" si="16"/>
        <v>2022.69</v>
      </c>
      <c r="H58" s="147">
        <v>0</v>
      </c>
      <c r="I58" s="219">
        <f t="shared" si="6"/>
        <v>2022.69</v>
      </c>
      <c r="J58" s="215">
        <f t="shared" si="7"/>
        <v>2016.66</v>
      </c>
      <c r="K58" s="229">
        <f t="shared" si="15"/>
        <v>16127.28</v>
      </c>
      <c r="L58" s="103"/>
      <c r="M58" s="150">
        <f t="shared" si="19"/>
        <v>20166.63</v>
      </c>
      <c r="N58" s="154"/>
      <c r="O58" s="101">
        <v>41438</v>
      </c>
      <c r="P58" s="102">
        <v>41438</v>
      </c>
      <c r="Q58" s="103"/>
      <c r="R58" s="104"/>
      <c r="S58" s="104">
        <f t="shared" si="20"/>
        <v>16127.28</v>
      </c>
      <c r="T58" s="105"/>
      <c r="U58" s="109">
        <f t="shared" si="17"/>
        <v>1008.33</v>
      </c>
      <c r="V58" s="104">
        <v>1008.33</v>
      </c>
      <c r="W58" s="106"/>
      <c r="X58" s="106"/>
      <c r="Y58" s="106"/>
      <c r="Z58" s="107"/>
      <c r="AA58" s="136">
        <f t="shared" si="9"/>
        <v>2016.66</v>
      </c>
      <c r="AB58" s="196">
        <f t="shared" si="12"/>
        <v>2016.66</v>
      </c>
      <c r="AC58" s="185">
        <f t="shared" si="13"/>
        <v>0</v>
      </c>
      <c r="AD58" s="185">
        <f t="shared" si="14"/>
        <v>0</v>
      </c>
    </row>
    <row r="59" spans="1:30" ht="31.5" x14ac:dyDescent="0.25">
      <c r="A59" s="48" t="s">
        <v>112</v>
      </c>
      <c r="B59" s="49" t="s">
        <v>109</v>
      </c>
      <c r="C59" s="144" t="s">
        <v>290</v>
      </c>
      <c r="D59" s="163">
        <v>14.04</v>
      </c>
      <c r="E59" s="145">
        <v>105.1</v>
      </c>
      <c r="F59" s="145">
        <f t="shared" si="18"/>
        <v>1475.6</v>
      </c>
      <c r="G59" s="146">
        <f t="shared" si="16"/>
        <v>148</v>
      </c>
      <c r="H59" s="147">
        <v>0</v>
      </c>
      <c r="I59" s="219">
        <f t="shared" si="6"/>
        <v>148</v>
      </c>
      <c r="J59" s="215">
        <f t="shared" si="7"/>
        <v>147.56</v>
      </c>
      <c r="K59" s="229">
        <f t="shared" si="15"/>
        <v>1180.04</v>
      </c>
      <c r="L59" s="103"/>
      <c r="M59" s="150">
        <f t="shared" si="19"/>
        <v>1475.6</v>
      </c>
      <c r="N59" s="154"/>
      <c r="O59" s="101">
        <v>41438</v>
      </c>
      <c r="P59" s="102">
        <v>41438</v>
      </c>
      <c r="Q59" s="103"/>
      <c r="R59" s="104"/>
      <c r="S59" s="104">
        <f t="shared" si="20"/>
        <v>1180.04</v>
      </c>
      <c r="T59" s="105"/>
      <c r="U59" s="109">
        <f t="shared" si="17"/>
        <v>73.78</v>
      </c>
      <c r="V59" s="104">
        <v>73.78</v>
      </c>
      <c r="W59" s="106"/>
      <c r="X59" s="106"/>
      <c r="Y59" s="106"/>
      <c r="Z59" s="107"/>
      <c r="AA59" s="136">
        <f t="shared" si="9"/>
        <v>147.56</v>
      </c>
      <c r="AB59" s="196">
        <f t="shared" si="12"/>
        <v>147.56</v>
      </c>
      <c r="AC59" s="185">
        <f t="shared" si="13"/>
        <v>0</v>
      </c>
      <c r="AD59" s="185">
        <f t="shared" si="14"/>
        <v>0</v>
      </c>
    </row>
    <row r="60" spans="1:30" ht="31.5" x14ac:dyDescent="0.25">
      <c r="A60" s="48" t="s">
        <v>113</v>
      </c>
      <c r="B60" s="49" t="s">
        <v>114</v>
      </c>
      <c r="C60" s="144" t="s">
        <v>290</v>
      </c>
      <c r="D60" s="163">
        <v>14.04</v>
      </c>
      <c r="E60" s="145">
        <v>68.680000000000007</v>
      </c>
      <c r="F60" s="145">
        <f t="shared" si="18"/>
        <v>964.27</v>
      </c>
      <c r="G60" s="146">
        <f t="shared" si="16"/>
        <v>96.72</v>
      </c>
      <c r="H60" s="147">
        <v>0</v>
      </c>
      <c r="I60" s="219">
        <f t="shared" si="6"/>
        <v>96.72</v>
      </c>
      <c r="J60" s="215">
        <f t="shared" si="7"/>
        <v>96.43</v>
      </c>
      <c r="K60" s="229">
        <f t="shared" si="15"/>
        <v>771.12</v>
      </c>
      <c r="L60" s="103"/>
      <c r="M60" s="150">
        <f t="shared" si="19"/>
        <v>964.27</v>
      </c>
      <c r="N60" s="154"/>
      <c r="O60" s="101">
        <v>41439</v>
      </c>
      <c r="P60" s="102">
        <v>41439</v>
      </c>
      <c r="Q60" s="103"/>
      <c r="R60" s="104"/>
      <c r="S60" s="104">
        <f t="shared" si="20"/>
        <v>771.12</v>
      </c>
      <c r="T60" s="105"/>
      <c r="U60" s="109">
        <f t="shared" si="17"/>
        <v>48.22</v>
      </c>
      <c r="V60" s="104">
        <v>48.21</v>
      </c>
      <c r="W60" s="106"/>
      <c r="X60" s="106"/>
      <c r="Y60" s="106"/>
      <c r="Z60" s="107"/>
      <c r="AA60" s="136">
        <f t="shared" si="9"/>
        <v>96.43</v>
      </c>
      <c r="AB60" s="196">
        <f t="shared" si="12"/>
        <v>96.43</v>
      </c>
      <c r="AC60" s="185">
        <f t="shared" si="13"/>
        <v>0</v>
      </c>
      <c r="AD60" s="185">
        <f t="shared" si="14"/>
        <v>0</v>
      </c>
    </row>
    <row r="61" spans="1:30" ht="31.5" x14ac:dyDescent="0.25">
      <c r="A61" s="48" t="s">
        <v>115</v>
      </c>
      <c r="B61" s="49" t="s">
        <v>116</v>
      </c>
      <c r="C61" s="144" t="s">
        <v>290</v>
      </c>
      <c r="D61" s="163">
        <v>14.04</v>
      </c>
      <c r="E61" s="145">
        <v>1162.1199999999999</v>
      </c>
      <c r="F61" s="145">
        <f t="shared" si="18"/>
        <v>16316.16</v>
      </c>
      <c r="G61" s="146">
        <f t="shared" si="16"/>
        <v>1636.49</v>
      </c>
      <c r="H61" s="147">
        <v>0</v>
      </c>
      <c r="I61" s="219">
        <f t="shared" si="6"/>
        <v>1636.49</v>
      </c>
      <c r="J61" s="215">
        <f t="shared" si="7"/>
        <v>1631.62</v>
      </c>
      <c r="K61" s="229">
        <f t="shared" si="15"/>
        <v>13048.05</v>
      </c>
      <c r="L61" s="103"/>
      <c r="M61" s="150">
        <f t="shared" si="19"/>
        <v>16316.16</v>
      </c>
      <c r="N61" s="154"/>
      <c r="O61" s="101">
        <v>41440</v>
      </c>
      <c r="P61" s="102">
        <v>41442</v>
      </c>
      <c r="Q61" s="103"/>
      <c r="R61" s="104"/>
      <c r="S61" s="104">
        <f t="shared" si="20"/>
        <v>13048.05</v>
      </c>
      <c r="T61" s="105"/>
      <c r="U61" s="109">
        <f t="shared" si="17"/>
        <v>815.81</v>
      </c>
      <c r="V61" s="104">
        <v>815.81</v>
      </c>
      <c r="W61" s="106"/>
      <c r="X61" s="106"/>
      <c r="Y61" s="106"/>
      <c r="Z61" s="107"/>
      <c r="AA61" s="136">
        <f t="shared" si="9"/>
        <v>1631.62</v>
      </c>
      <c r="AB61" s="196">
        <f t="shared" si="12"/>
        <v>1631.62</v>
      </c>
      <c r="AC61" s="185">
        <f t="shared" si="13"/>
        <v>0</v>
      </c>
      <c r="AD61" s="185">
        <f t="shared" si="14"/>
        <v>0</v>
      </c>
    </row>
    <row r="62" spans="1:30" ht="31.5" x14ac:dyDescent="0.25">
      <c r="A62" s="48" t="s">
        <v>117</v>
      </c>
      <c r="B62" s="49" t="s">
        <v>118</v>
      </c>
      <c r="C62" s="144" t="s">
        <v>290</v>
      </c>
      <c r="D62" s="180">
        <v>3.8</v>
      </c>
      <c r="E62" s="145">
        <v>1160.32</v>
      </c>
      <c r="F62" s="145">
        <f t="shared" si="18"/>
        <v>4409.22</v>
      </c>
      <c r="G62" s="146">
        <f t="shared" si="16"/>
        <v>442.24</v>
      </c>
      <c r="H62" s="147">
        <v>0</v>
      </c>
      <c r="I62" s="219">
        <f t="shared" si="6"/>
        <v>442.24</v>
      </c>
      <c r="J62" s="215">
        <f t="shared" si="7"/>
        <v>440.92</v>
      </c>
      <c r="K62" s="229">
        <f t="shared" si="15"/>
        <v>3526.06</v>
      </c>
      <c r="L62" s="103"/>
      <c r="M62" s="150">
        <f t="shared" si="19"/>
        <v>4409.22</v>
      </c>
      <c r="N62" s="100"/>
      <c r="O62" s="101">
        <v>41425</v>
      </c>
      <c r="P62" s="102">
        <v>41426</v>
      </c>
      <c r="Q62" s="103"/>
      <c r="R62" s="104"/>
      <c r="S62" s="104">
        <f t="shared" si="20"/>
        <v>3526.06</v>
      </c>
      <c r="T62" s="105"/>
      <c r="U62" s="109">
        <f t="shared" si="17"/>
        <v>220.46</v>
      </c>
      <c r="V62" s="104">
        <v>220.46</v>
      </c>
      <c r="W62" s="106"/>
      <c r="X62" s="106"/>
      <c r="Y62" s="106"/>
      <c r="Z62" s="107"/>
      <c r="AA62" s="136">
        <f t="shared" si="9"/>
        <v>440.92</v>
      </c>
      <c r="AB62" s="196">
        <f t="shared" si="12"/>
        <v>440.92</v>
      </c>
      <c r="AC62" s="185">
        <f t="shared" si="13"/>
        <v>0</v>
      </c>
      <c r="AD62" s="185">
        <f t="shared" si="14"/>
        <v>0</v>
      </c>
    </row>
    <row r="63" spans="1:30" ht="31.5" x14ac:dyDescent="0.25">
      <c r="A63" s="48" t="s">
        <v>119</v>
      </c>
      <c r="B63" s="49" t="s">
        <v>120</v>
      </c>
      <c r="C63" s="144" t="s">
        <v>290</v>
      </c>
      <c r="D63" s="180">
        <v>3.8</v>
      </c>
      <c r="E63" s="145">
        <v>79.31</v>
      </c>
      <c r="F63" s="145">
        <f t="shared" si="18"/>
        <v>301.38</v>
      </c>
      <c r="G63" s="146">
        <f t="shared" si="16"/>
        <v>30.23</v>
      </c>
      <c r="H63" s="147">
        <v>0</v>
      </c>
      <c r="I63" s="219">
        <f t="shared" si="6"/>
        <v>30.23</v>
      </c>
      <c r="J63" s="215">
        <f t="shared" si="7"/>
        <v>30.14</v>
      </c>
      <c r="K63" s="229">
        <f t="shared" si="15"/>
        <v>241.01</v>
      </c>
      <c r="L63" s="103"/>
      <c r="M63" s="150">
        <f t="shared" si="19"/>
        <v>301.38</v>
      </c>
      <c r="N63" s="100"/>
      <c r="O63" s="101">
        <v>41427</v>
      </c>
      <c r="P63" s="102">
        <v>41428</v>
      </c>
      <c r="Q63" s="103"/>
      <c r="R63" s="104"/>
      <c r="S63" s="104">
        <f t="shared" si="20"/>
        <v>241.01</v>
      </c>
      <c r="T63" s="105"/>
      <c r="U63" s="109">
        <f t="shared" si="17"/>
        <v>15.07</v>
      </c>
      <c r="V63" s="104">
        <v>15.07</v>
      </c>
      <c r="W63" s="106"/>
      <c r="X63" s="106"/>
      <c r="Y63" s="106"/>
      <c r="Z63" s="107"/>
      <c r="AA63" s="136">
        <f t="shared" si="9"/>
        <v>30.14</v>
      </c>
      <c r="AB63" s="196">
        <f t="shared" si="12"/>
        <v>30.14</v>
      </c>
      <c r="AC63" s="185">
        <f t="shared" si="13"/>
        <v>0</v>
      </c>
      <c r="AD63" s="185">
        <f t="shared" si="14"/>
        <v>0</v>
      </c>
    </row>
    <row r="64" spans="1:30" ht="31.5" x14ac:dyDescent="0.25">
      <c r="A64" s="48" t="s">
        <v>121</v>
      </c>
      <c r="B64" s="49" t="s">
        <v>122</v>
      </c>
      <c r="C64" s="144" t="s">
        <v>290</v>
      </c>
      <c r="D64" s="180">
        <v>3.8</v>
      </c>
      <c r="E64" s="145">
        <v>469.55</v>
      </c>
      <c r="F64" s="145">
        <f t="shared" si="18"/>
        <v>1784.29</v>
      </c>
      <c r="G64" s="146">
        <f t="shared" si="16"/>
        <v>178.96</v>
      </c>
      <c r="H64" s="147">
        <v>0</v>
      </c>
      <c r="I64" s="219">
        <f t="shared" si="6"/>
        <v>178.96</v>
      </c>
      <c r="J64" s="215">
        <f t="shared" si="7"/>
        <v>178.43</v>
      </c>
      <c r="K64" s="229">
        <f t="shared" si="15"/>
        <v>1426.9</v>
      </c>
      <c r="L64" s="103"/>
      <c r="M64" s="150">
        <f t="shared" si="19"/>
        <v>1784.29</v>
      </c>
      <c r="N64" s="100"/>
      <c r="O64" s="101">
        <v>41428</v>
      </c>
      <c r="P64" s="102">
        <v>41431</v>
      </c>
      <c r="Q64" s="103"/>
      <c r="R64" s="104"/>
      <c r="S64" s="104">
        <f t="shared" si="20"/>
        <v>1426.9</v>
      </c>
      <c r="T64" s="105"/>
      <c r="U64" s="109">
        <f t="shared" si="17"/>
        <v>89.22</v>
      </c>
      <c r="V64" s="104">
        <v>89.21</v>
      </c>
      <c r="W64" s="106"/>
      <c r="X64" s="106"/>
      <c r="Y64" s="106"/>
      <c r="Z64" s="107"/>
      <c r="AA64" s="136">
        <f t="shared" si="9"/>
        <v>178.43</v>
      </c>
      <c r="AB64" s="196">
        <f t="shared" si="12"/>
        <v>178.43</v>
      </c>
      <c r="AC64" s="185">
        <f t="shared" si="13"/>
        <v>0</v>
      </c>
      <c r="AD64" s="185">
        <f t="shared" si="14"/>
        <v>0</v>
      </c>
    </row>
    <row r="65" spans="1:30" ht="63" x14ac:dyDescent="0.25">
      <c r="A65" s="48" t="s">
        <v>123</v>
      </c>
      <c r="B65" s="49" t="s">
        <v>124</v>
      </c>
      <c r="C65" s="144" t="s">
        <v>288</v>
      </c>
      <c r="D65" s="163">
        <v>2.2799999999999998</v>
      </c>
      <c r="E65" s="145">
        <v>8134.97</v>
      </c>
      <c r="F65" s="145">
        <f t="shared" si="18"/>
        <v>18547.73</v>
      </c>
      <c r="G65" s="146">
        <f t="shared" si="16"/>
        <v>1860.32</v>
      </c>
      <c r="H65" s="147">
        <v>0</v>
      </c>
      <c r="I65" s="219">
        <f t="shared" si="6"/>
        <v>1860.32</v>
      </c>
      <c r="J65" s="215">
        <f t="shared" si="7"/>
        <v>1854.77</v>
      </c>
      <c r="K65" s="229">
        <f t="shared" si="15"/>
        <v>14832.64</v>
      </c>
      <c r="L65" s="103"/>
      <c r="M65" s="150">
        <f t="shared" si="19"/>
        <v>18547.73</v>
      </c>
      <c r="N65" s="100"/>
      <c r="O65" s="101">
        <v>41433</v>
      </c>
      <c r="P65" s="102">
        <v>41435</v>
      </c>
      <c r="Q65" s="103"/>
      <c r="R65" s="104"/>
      <c r="S65" s="104">
        <f t="shared" si="20"/>
        <v>14832.64</v>
      </c>
      <c r="T65" s="105"/>
      <c r="U65" s="109">
        <f t="shared" si="17"/>
        <v>927.39</v>
      </c>
      <c r="V65" s="104">
        <v>927.38</v>
      </c>
      <c r="W65" s="106"/>
      <c r="X65" s="106"/>
      <c r="Y65" s="106"/>
      <c r="Z65" s="107"/>
      <c r="AA65" s="136">
        <f t="shared" si="9"/>
        <v>1854.77</v>
      </c>
      <c r="AB65" s="196">
        <f t="shared" si="12"/>
        <v>1854.77</v>
      </c>
      <c r="AC65" s="185">
        <f t="shared" si="13"/>
        <v>0</v>
      </c>
      <c r="AD65" s="185">
        <f t="shared" si="14"/>
        <v>0</v>
      </c>
    </row>
    <row r="66" spans="1:30" s="80" customFormat="1" x14ac:dyDescent="0.25">
      <c r="A66" s="46" t="s">
        <v>18</v>
      </c>
      <c r="B66" s="47" t="s">
        <v>125</v>
      </c>
      <c r="C66" s="24"/>
      <c r="D66" s="162"/>
      <c r="E66" s="25"/>
      <c r="F66" s="25"/>
      <c r="G66" s="26">
        <f t="shared" si="16"/>
        <v>0</v>
      </c>
      <c r="H66" s="27">
        <v>0</v>
      </c>
      <c r="I66" s="220"/>
      <c r="J66" s="229">
        <f t="shared" si="7"/>
        <v>0</v>
      </c>
      <c r="K66" s="229">
        <f t="shared" si="15"/>
        <v>0</v>
      </c>
      <c r="L66" s="93"/>
      <c r="M66" s="90"/>
      <c r="N66" s="98"/>
      <c r="O66" s="91"/>
      <c r="P66" s="92"/>
      <c r="Q66" s="93"/>
      <c r="R66" s="29"/>
      <c r="S66" s="29"/>
      <c r="T66" s="94"/>
      <c r="U66" s="109"/>
      <c r="V66" s="104"/>
      <c r="W66" s="106"/>
      <c r="X66" s="106"/>
      <c r="Y66" s="106"/>
      <c r="Z66" s="107"/>
      <c r="AA66" s="136"/>
      <c r="AB66" s="196">
        <f t="shared" si="12"/>
        <v>0</v>
      </c>
      <c r="AC66" s="185">
        <f t="shared" si="13"/>
        <v>0</v>
      </c>
      <c r="AD66" s="185">
        <f t="shared" si="14"/>
        <v>0</v>
      </c>
    </row>
    <row r="67" spans="1:30" ht="31.5" x14ac:dyDescent="0.25">
      <c r="A67" s="48" t="s">
        <v>126</v>
      </c>
      <c r="B67" s="49" t="s">
        <v>105</v>
      </c>
      <c r="C67" s="144" t="s">
        <v>288</v>
      </c>
      <c r="D67" s="181">
        <v>3.6</v>
      </c>
      <c r="E67" s="145">
        <v>1804.74</v>
      </c>
      <c r="F67" s="145">
        <f t="shared" si="18"/>
        <v>6497.06</v>
      </c>
      <c r="G67" s="146">
        <f t="shared" si="16"/>
        <v>651.65</v>
      </c>
      <c r="H67" s="147">
        <v>0</v>
      </c>
      <c r="I67" s="219">
        <f t="shared" si="6"/>
        <v>651.65</v>
      </c>
      <c r="J67" s="215">
        <f t="shared" si="7"/>
        <v>649.71</v>
      </c>
      <c r="K67" s="229">
        <f t="shared" si="15"/>
        <v>5195.7</v>
      </c>
      <c r="L67" s="103"/>
      <c r="M67" s="150">
        <f>F67</f>
        <v>6497.06</v>
      </c>
      <c r="N67" s="100"/>
      <c r="O67" s="101">
        <v>41427</v>
      </c>
      <c r="P67" s="102">
        <v>41428</v>
      </c>
      <c r="Q67" s="103"/>
      <c r="R67" s="104"/>
      <c r="S67" s="104">
        <f>K67</f>
        <v>5195.7</v>
      </c>
      <c r="T67" s="105"/>
      <c r="U67" s="109">
        <f t="shared" ref="U67:U77" si="21">J67*0.5</f>
        <v>324.86</v>
      </c>
      <c r="V67" s="104">
        <v>324.85000000000002</v>
      </c>
      <c r="W67" s="106"/>
      <c r="X67" s="106"/>
      <c r="Y67" s="106"/>
      <c r="Z67" s="107"/>
      <c r="AA67" s="136">
        <f t="shared" si="9"/>
        <v>649.71</v>
      </c>
      <c r="AB67" s="196">
        <f t="shared" si="12"/>
        <v>649.71</v>
      </c>
      <c r="AC67" s="185">
        <f t="shared" si="13"/>
        <v>0</v>
      </c>
      <c r="AD67" s="185">
        <f t="shared" si="14"/>
        <v>0</v>
      </c>
    </row>
    <row r="68" spans="1:30" ht="31.5" x14ac:dyDescent="0.25">
      <c r="A68" s="48" t="s">
        <v>127</v>
      </c>
      <c r="B68" s="49" t="s">
        <v>107</v>
      </c>
      <c r="C68" s="144" t="s">
        <v>288</v>
      </c>
      <c r="D68" s="181">
        <v>3.6</v>
      </c>
      <c r="E68" s="145">
        <v>4309.76</v>
      </c>
      <c r="F68" s="145">
        <f t="shared" si="18"/>
        <v>15515.14</v>
      </c>
      <c r="G68" s="146">
        <f t="shared" si="16"/>
        <v>1556.15</v>
      </c>
      <c r="H68" s="147">
        <v>0</v>
      </c>
      <c r="I68" s="219">
        <f t="shared" si="6"/>
        <v>1556.15</v>
      </c>
      <c r="J68" s="215">
        <f t="shared" si="7"/>
        <v>1551.51</v>
      </c>
      <c r="K68" s="229">
        <f t="shared" si="15"/>
        <v>12407.48</v>
      </c>
      <c r="L68" s="103"/>
      <c r="M68" s="150">
        <f>F68</f>
        <v>15515.14</v>
      </c>
      <c r="N68" s="100"/>
      <c r="O68" s="101">
        <v>41438</v>
      </c>
      <c r="P68" s="102">
        <v>41431</v>
      </c>
      <c r="Q68" s="103"/>
      <c r="R68" s="104"/>
      <c r="S68" s="104">
        <f>K68</f>
        <v>12407.48</v>
      </c>
      <c r="T68" s="105"/>
      <c r="U68" s="109">
        <f t="shared" si="21"/>
        <v>775.76</v>
      </c>
      <c r="V68" s="104">
        <v>775.75</v>
      </c>
      <c r="W68" s="106"/>
      <c r="X68" s="106"/>
      <c r="Y68" s="106"/>
      <c r="Z68" s="107"/>
      <c r="AA68" s="136">
        <f t="shared" si="9"/>
        <v>1551.51</v>
      </c>
      <c r="AB68" s="196">
        <f t="shared" si="12"/>
        <v>1551.51</v>
      </c>
      <c r="AC68" s="185">
        <f t="shared" si="13"/>
        <v>0</v>
      </c>
      <c r="AD68" s="185">
        <f t="shared" si="14"/>
        <v>0</v>
      </c>
    </row>
    <row r="69" spans="1:30" ht="31.5" x14ac:dyDescent="0.25">
      <c r="A69" s="48" t="s">
        <v>128</v>
      </c>
      <c r="B69" s="49" t="s">
        <v>109</v>
      </c>
      <c r="C69" s="144" t="s">
        <v>290</v>
      </c>
      <c r="D69" s="163">
        <v>87.48</v>
      </c>
      <c r="E69" s="145">
        <v>105.1</v>
      </c>
      <c r="F69" s="145">
        <f t="shared" si="18"/>
        <v>9194.15</v>
      </c>
      <c r="G69" s="146">
        <f t="shared" si="16"/>
        <v>922.16</v>
      </c>
      <c r="H69" s="147">
        <v>0</v>
      </c>
      <c r="I69" s="219">
        <f t="shared" si="6"/>
        <v>922.16</v>
      </c>
      <c r="J69" s="215">
        <f t="shared" si="7"/>
        <v>919.42</v>
      </c>
      <c r="K69" s="229">
        <f t="shared" si="15"/>
        <v>7352.57</v>
      </c>
      <c r="L69" s="103"/>
      <c r="M69" s="99"/>
      <c r="N69" s="149">
        <f>F69</f>
        <v>9194.15</v>
      </c>
      <c r="O69" s="101">
        <v>41446</v>
      </c>
      <c r="P69" s="102">
        <v>41448</v>
      </c>
      <c r="Q69" s="103"/>
      <c r="R69" s="104"/>
      <c r="S69" s="104"/>
      <c r="T69" s="105">
        <f>K69</f>
        <v>7352.57</v>
      </c>
      <c r="U69" s="109">
        <f t="shared" si="21"/>
        <v>459.71</v>
      </c>
      <c r="V69" s="104">
        <v>459.71</v>
      </c>
      <c r="W69" s="106"/>
      <c r="X69" s="106"/>
      <c r="Y69" s="106"/>
      <c r="Z69" s="107"/>
      <c r="AA69" s="136">
        <f t="shared" si="9"/>
        <v>919.42</v>
      </c>
      <c r="AB69" s="196">
        <f t="shared" si="12"/>
        <v>919.42</v>
      </c>
      <c r="AC69" s="185">
        <f t="shared" si="13"/>
        <v>0</v>
      </c>
      <c r="AD69" s="185">
        <f t="shared" si="14"/>
        <v>0</v>
      </c>
    </row>
    <row r="70" spans="1:30" ht="31.5" x14ac:dyDescent="0.25">
      <c r="A70" s="48" t="s">
        <v>129</v>
      </c>
      <c r="B70" s="49" t="s">
        <v>111</v>
      </c>
      <c r="C70" s="144" t="s">
        <v>290</v>
      </c>
      <c r="D70" s="163">
        <v>87.48</v>
      </c>
      <c r="E70" s="145">
        <v>1436.37</v>
      </c>
      <c r="F70" s="145">
        <f t="shared" si="18"/>
        <v>125653.65</v>
      </c>
      <c r="G70" s="146">
        <f t="shared" si="16"/>
        <v>12602.91</v>
      </c>
      <c r="H70" s="147">
        <v>0</v>
      </c>
      <c r="I70" s="219">
        <f t="shared" si="6"/>
        <v>12602.91</v>
      </c>
      <c r="J70" s="215">
        <f t="shared" si="7"/>
        <v>12565.37</v>
      </c>
      <c r="K70" s="229">
        <f t="shared" si="15"/>
        <v>100485.37</v>
      </c>
      <c r="L70" s="103"/>
      <c r="M70" s="99"/>
      <c r="N70" s="149">
        <f>F70</f>
        <v>125653.65</v>
      </c>
      <c r="O70" s="101">
        <v>41448</v>
      </c>
      <c r="P70" s="102">
        <v>41449</v>
      </c>
      <c r="Q70" s="103"/>
      <c r="R70" s="104"/>
      <c r="S70" s="104"/>
      <c r="T70" s="105">
        <f>K70</f>
        <v>100485.37</v>
      </c>
      <c r="U70" s="109">
        <f t="shared" si="21"/>
        <v>6282.69</v>
      </c>
      <c r="V70" s="104">
        <v>6282.68</v>
      </c>
      <c r="W70" s="106"/>
      <c r="X70" s="106"/>
      <c r="Y70" s="106"/>
      <c r="Z70" s="107"/>
      <c r="AA70" s="136">
        <f t="shared" si="9"/>
        <v>12565.37</v>
      </c>
      <c r="AB70" s="196">
        <f t="shared" si="12"/>
        <v>12565.37</v>
      </c>
      <c r="AC70" s="185">
        <f t="shared" si="13"/>
        <v>0</v>
      </c>
      <c r="AD70" s="185">
        <f t="shared" si="14"/>
        <v>0</v>
      </c>
    </row>
    <row r="71" spans="1:30" ht="31.5" x14ac:dyDescent="0.25">
      <c r="A71" s="48" t="s">
        <v>130</v>
      </c>
      <c r="B71" s="49" t="s">
        <v>109</v>
      </c>
      <c r="C71" s="144" t="s">
        <v>290</v>
      </c>
      <c r="D71" s="163">
        <v>87.48</v>
      </c>
      <c r="E71" s="145">
        <v>105.1</v>
      </c>
      <c r="F71" s="145">
        <f t="shared" si="18"/>
        <v>9194.15</v>
      </c>
      <c r="G71" s="146">
        <f t="shared" si="16"/>
        <v>922.16</v>
      </c>
      <c r="H71" s="147">
        <v>0</v>
      </c>
      <c r="I71" s="219">
        <f t="shared" si="6"/>
        <v>922.16</v>
      </c>
      <c r="J71" s="215">
        <f t="shared" si="7"/>
        <v>919.42</v>
      </c>
      <c r="K71" s="229">
        <f t="shared" si="15"/>
        <v>7352.57</v>
      </c>
      <c r="L71" s="103"/>
      <c r="M71" s="99"/>
      <c r="N71" s="149">
        <f>F71</f>
        <v>9194.15</v>
      </c>
      <c r="O71" s="101">
        <v>41450</v>
      </c>
      <c r="P71" s="102">
        <v>41451</v>
      </c>
      <c r="Q71" s="103"/>
      <c r="R71" s="104"/>
      <c r="S71" s="104"/>
      <c r="T71" s="105">
        <f>K71</f>
        <v>7352.57</v>
      </c>
      <c r="U71" s="109">
        <f t="shared" si="21"/>
        <v>459.71</v>
      </c>
      <c r="V71" s="104">
        <v>459.71</v>
      </c>
      <c r="W71" s="106"/>
      <c r="X71" s="106"/>
      <c r="Y71" s="106"/>
      <c r="Z71" s="107"/>
      <c r="AA71" s="136">
        <f t="shared" si="9"/>
        <v>919.42</v>
      </c>
      <c r="AB71" s="196">
        <f t="shared" si="12"/>
        <v>919.42</v>
      </c>
      <c r="AC71" s="185">
        <f t="shared" si="13"/>
        <v>0</v>
      </c>
      <c r="AD71" s="185">
        <f t="shared" si="14"/>
        <v>0</v>
      </c>
    </row>
    <row r="72" spans="1:30" ht="31.5" x14ac:dyDescent="0.25">
      <c r="A72" s="48" t="s">
        <v>131</v>
      </c>
      <c r="B72" s="49" t="s">
        <v>114</v>
      </c>
      <c r="C72" s="144" t="s">
        <v>290</v>
      </c>
      <c r="D72" s="163">
        <v>87.48</v>
      </c>
      <c r="E72" s="145">
        <v>68.680000000000007</v>
      </c>
      <c r="F72" s="145">
        <f t="shared" si="18"/>
        <v>6008.13</v>
      </c>
      <c r="G72" s="146">
        <f t="shared" si="16"/>
        <v>602.61</v>
      </c>
      <c r="H72" s="147">
        <v>0</v>
      </c>
      <c r="I72" s="219">
        <f t="shared" si="6"/>
        <v>602.61</v>
      </c>
      <c r="J72" s="215">
        <f t="shared" si="7"/>
        <v>600.80999999999995</v>
      </c>
      <c r="K72" s="229">
        <f t="shared" si="15"/>
        <v>4804.71</v>
      </c>
      <c r="L72" s="103"/>
      <c r="M72" s="99"/>
      <c r="N72" s="149">
        <f>F72</f>
        <v>6008.13</v>
      </c>
      <c r="O72" s="101">
        <v>41451</v>
      </c>
      <c r="P72" s="102">
        <v>41452</v>
      </c>
      <c r="Q72" s="103"/>
      <c r="R72" s="104"/>
      <c r="S72" s="104"/>
      <c r="T72" s="105">
        <f>K72</f>
        <v>4804.71</v>
      </c>
      <c r="U72" s="109">
        <f t="shared" si="21"/>
        <v>300.41000000000003</v>
      </c>
      <c r="V72" s="104">
        <v>300.39999999999998</v>
      </c>
      <c r="W72" s="106"/>
      <c r="X72" s="106"/>
      <c r="Y72" s="106"/>
      <c r="Z72" s="107"/>
      <c r="AA72" s="136">
        <f t="shared" si="9"/>
        <v>600.80999999999995</v>
      </c>
      <c r="AB72" s="196">
        <f t="shared" si="12"/>
        <v>600.80999999999995</v>
      </c>
      <c r="AC72" s="185">
        <f t="shared" si="13"/>
        <v>0</v>
      </c>
      <c r="AD72" s="185">
        <f t="shared" si="14"/>
        <v>0</v>
      </c>
    </row>
    <row r="73" spans="1:30" ht="31.5" x14ac:dyDescent="0.25">
      <c r="A73" s="48" t="s">
        <v>132</v>
      </c>
      <c r="B73" s="49" t="s">
        <v>116</v>
      </c>
      <c r="C73" s="144" t="s">
        <v>290</v>
      </c>
      <c r="D73" s="163">
        <v>87.48</v>
      </c>
      <c r="E73" s="145">
        <v>1162.1199999999999</v>
      </c>
      <c r="F73" s="145">
        <f t="shared" si="18"/>
        <v>101662.26</v>
      </c>
      <c r="G73" s="146">
        <f t="shared" si="16"/>
        <v>10196.61</v>
      </c>
      <c r="H73" s="147">
        <v>0</v>
      </c>
      <c r="I73" s="219">
        <f t="shared" si="6"/>
        <v>10196.61</v>
      </c>
      <c r="J73" s="215">
        <f t="shared" si="7"/>
        <v>10166.23</v>
      </c>
      <c r="K73" s="229">
        <f t="shared" si="15"/>
        <v>81299.42</v>
      </c>
      <c r="L73" s="103"/>
      <c r="M73" s="99"/>
      <c r="N73" s="149">
        <f>F73</f>
        <v>101662.26</v>
      </c>
      <c r="O73" s="101">
        <v>41453</v>
      </c>
      <c r="P73" s="102">
        <v>41455</v>
      </c>
      <c r="Q73" s="103"/>
      <c r="R73" s="104"/>
      <c r="S73" s="104"/>
      <c r="T73" s="105">
        <f>K73</f>
        <v>81299.42</v>
      </c>
      <c r="U73" s="109">
        <f t="shared" si="21"/>
        <v>5083.12</v>
      </c>
      <c r="V73" s="104">
        <v>5083.1099999999997</v>
      </c>
      <c r="W73" s="106"/>
      <c r="X73" s="106"/>
      <c r="Y73" s="106"/>
      <c r="Z73" s="107"/>
      <c r="AA73" s="136">
        <f t="shared" si="9"/>
        <v>10166.23</v>
      </c>
      <c r="AB73" s="196">
        <f t="shared" si="12"/>
        <v>10166.23</v>
      </c>
      <c r="AC73" s="185">
        <f t="shared" si="13"/>
        <v>0</v>
      </c>
      <c r="AD73" s="185">
        <f t="shared" si="14"/>
        <v>0</v>
      </c>
    </row>
    <row r="74" spans="1:30" ht="31.5" x14ac:dyDescent="0.25">
      <c r="A74" s="48" t="s">
        <v>133</v>
      </c>
      <c r="B74" s="49" t="s">
        <v>118</v>
      </c>
      <c r="C74" s="144" t="s">
        <v>290</v>
      </c>
      <c r="D74" s="181">
        <v>35.979999999999997</v>
      </c>
      <c r="E74" s="145">
        <v>1160.32</v>
      </c>
      <c r="F74" s="145">
        <f t="shared" si="18"/>
        <v>41748.31</v>
      </c>
      <c r="G74" s="146">
        <f t="shared" si="16"/>
        <v>4187.3100000000004</v>
      </c>
      <c r="H74" s="147">
        <v>0</v>
      </c>
      <c r="I74" s="219">
        <f t="shared" si="6"/>
        <v>4187.3100000000004</v>
      </c>
      <c r="J74" s="215">
        <f t="shared" si="7"/>
        <v>4174.83</v>
      </c>
      <c r="K74" s="229">
        <f t="shared" si="15"/>
        <v>33386.17</v>
      </c>
      <c r="L74" s="103"/>
      <c r="M74" s="150">
        <f>F74</f>
        <v>41748.31</v>
      </c>
      <c r="N74" s="100"/>
      <c r="O74" s="101">
        <v>41433</v>
      </c>
      <c r="P74" s="102">
        <v>41434</v>
      </c>
      <c r="Q74" s="103"/>
      <c r="R74" s="104"/>
      <c r="S74" s="104">
        <f>K74</f>
        <v>33386.17</v>
      </c>
      <c r="T74" s="105"/>
      <c r="U74" s="109">
        <f t="shared" si="21"/>
        <v>2087.42</v>
      </c>
      <c r="V74" s="104">
        <v>2087.41</v>
      </c>
      <c r="W74" s="106"/>
      <c r="X74" s="106"/>
      <c r="Y74" s="106"/>
      <c r="Z74" s="107"/>
      <c r="AA74" s="136">
        <f t="shared" si="9"/>
        <v>4174.83</v>
      </c>
      <c r="AB74" s="196">
        <f t="shared" si="12"/>
        <v>4174.83</v>
      </c>
      <c r="AC74" s="185">
        <f t="shared" si="13"/>
        <v>0</v>
      </c>
      <c r="AD74" s="185">
        <f t="shared" si="14"/>
        <v>0</v>
      </c>
    </row>
    <row r="75" spans="1:30" ht="31.5" x14ac:dyDescent="0.25">
      <c r="A75" s="48" t="s">
        <v>134</v>
      </c>
      <c r="B75" s="49" t="s">
        <v>109</v>
      </c>
      <c r="C75" s="144" t="s">
        <v>290</v>
      </c>
      <c r="D75" s="181">
        <v>35.979999999999997</v>
      </c>
      <c r="E75" s="145">
        <v>79.31</v>
      </c>
      <c r="F75" s="145">
        <f t="shared" si="18"/>
        <v>2853.57</v>
      </c>
      <c r="G75" s="146">
        <f t="shared" si="16"/>
        <v>286.20999999999998</v>
      </c>
      <c r="H75" s="147">
        <v>0</v>
      </c>
      <c r="I75" s="219">
        <f t="shared" si="6"/>
        <v>286.20999999999998</v>
      </c>
      <c r="J75" s="215">
        <f t="shared" si="7"/>
        <v>285.36</v>
      </c>
      <c r="K75" s="229">
        <f t="shared" si="15"/>
        <v>2282</v>
      </c>
      <c r="L75" s="103"/>
      <c r="M75" s="150">
        <f>F75</f>
        <v>2853.57</v>
      </c>
      <c r="N75" s="100"/>
      <c r="O75" s="101">
        <v>41435</v>
      </c>
      <c r="P75" s="102">
        <v>41437</v>
      </c>
      <c r="Q75" s="103"/>
      <c r="R75" s="104"/>
      <c r="S75" s="104">
        <f>K75</f>
        <v>2282</v>
      </c>
      <c r="T75" s="105"/>
      <c r="U75" s="109">
        <f t="shared" si="21"/>
        <v>142.68</v>
      </c>
      <c r="V75" s="104">
        <v>142.68</v>
      </c>
      <c r="W75" s="106"/>
      <c r="X75" s="106"/>
      <c r="Y75" s="106"/>
      <c r="Z75" s="107"/>
      <c r="AA75" s="136">
        <f t="shared" si="9"/>
        <v>285.36</v>
      </c>
      <c r="AB75" s="196">
        <f t="shared" si="12"/>
        <v>285.36</v>
      </c>
      <c r="AC75" s="185">
        <f t="shared" si="13"/>
        <v>0</v>
      </c>
      <c r="AD75" s="185">
        <f t="shared" si="14"/>
        <v>0</v>
      </c>
    </row>
    <row r="76" spans="1:30" ht="31.5" x14ac:dyDescent="0.25">
      <c r="A76" s="48" t="s">
        <v>135</v>
      </c>
      <c r="B76" s="49" t="s">
        <v>122</v>
      </c>
      <c r="C76" s="144" t="s">
        <v>290</v>
      </c>
      <c r="D76" s="181">
        <v>35.979999999999997</v>
      </c>
      <c r="E76" s="145">
        <v>469.55</v>
      </c>
      <c r="F76" s="145">
        <f t="shared" si="18"/>
        <v>16894.41</v>
      </c>
      <c r="G76" s="146">
        <f t="shared" si="16"/>
        <v>1694.49</v>
      </c>
      <c r="H76" s="147">
        <v>0</v>
      </c>
      <c r="I76" s="219">
        <f t="shared" si="6"/>
        <v>1694.49</v>
      </c>
      <c r="J76" s="215">
        <f t="shared" si="7"/>
        <v>1689.44</v>
      </c>
      <c r="K76" s="229">
        <f t="shared" si="15"/>
        <v>13510.48</v>
      </c>
      <c r="L76" s="103"/>
      <c r="M76" s="150">
        <f>F76</f>
        <v>16894.41</v>
      </c>
      <c r="N76" s="100"/>
      <c r="O76" s="101">
        <v>41438</v>
      </c>
      <c r="P76" s="102">
        <v>41440</v>
      </c>
      <c r="Q76" s="103"/>
      <c r="R76" s="104"/>
      <c r="S76" s="104">
        <f>K76</f>
        <v>13510.48</v>
      </c>
      <c r="T76" s="105"/>
      <c r="U76" s="109">
        <f t="shared" si="21"/>
        <v>844.72</v>
      </c>
      <c r="V76" s="104">
        <v>844.72</v>
      </c>
      <c r="W76" s="106"/>
      <c r="X76" s="106"/>
      <c r="Y76" s="106"/>
      <c r="Z76" s="107"/>
      <c r="AA76" s="136">
        <f t="shared" si="9"/>
        <v>1689.44</v>
      </c>
      <c r="AB76" s="196">
        <f t="shared" si="12"/>
        <v>1689.44</v>
      </c>
      <c r="AC76" s="185">
        <f t="shared" si="13"/>
        <v>0</v>
      </c>
      <c r="AD76" s="185">
        <f t="shared" si="14"/>
        <v>0</v>
      </c>
    </row>
    <row r="77" spans="1:30" ht="63" x14ac:dyDescent="0.25">
      <c r="A77" s="48" t="s">
        <v>136</v>
      </c>
      <c r="B77" s="49" t="s">
        <v>124</v>
      </c>
      <c r="C77" s="144" t="s">
        <v>288</v>
      </c>
      <c r="D77" s="163">
        <v>21.59</v>
      </c>
      <c r="E77" s="145">
        <v>8134.97</v>
      </c>
      <c r="F77" s="145">
        <f t="shared" si="18"/>
        <v>175634</v>
      </c>
      <c r="G77" s="146">
        <f t="shared" si="16"/>
        <v>17615.89</v>
      </c>
      <c r="H77" s="147">
        <v>0</v>
      </c>
      <c r="I77" s="219">
        <f t="shared" si="6"/>
        <v>17615.89</v>
      </c>
      <c r="J77" s="215">
        <f t="shared" si="7"/>
        <v>17563.400000000001</v>
      </c>
      <c r="K77" s="229">
        <f t="shared" si="15"/>
        <v>140454.71</v>
      </c>
      <c r="L77" s="103"/>
      <c r="M77" s="99"/>
      <c r="N77" s="149">
        <f>F77</f>
        <v>175634</v>
      </c>
      <c r="O77" s="101">
        <v>41441</v>
      </c>
      <c r="P77" s="102">
        <v>41444</v>
      </c>
      <c r="Q77" s="103"/>
      <c r="R77" s="104"/>
      <c r="S77" s="104"/>
      <c r="T77" s="105">
        <f>K77</f>
        <v>140454.71</v>
      </c>
      <c r="U77" s="109">
        <f t="shared" si="21"/>
        <v>8781.7000000000007</v>
      </c>
      <c r="V77" s="104">
        <v>8781.7000000000007</v>
      </c>
      <c r="W77" s="106"/>
      <c r="X77" s="106"/>
      <c r="Y77" s="106"/>
      <c r="Z77" s="107"/>
      <c r="AA77" s="136">
        <f t="shared" si="9"/>
        <v>17563.400000000001</v>
      </c>
      <c r="AB77" s="196">
        <f t="shared" si="12"/>
        <v>17563.400000000001</v>
      </c>
      <c r="AC77" s="185">
        <f t="shared" si="13"/>
        <v>0</v>
      </c>
      <c r="AD77" s="185">
        <f t="shared" si="14"/>
        <v>0</v>
      </c>
    </row>
    <row r="78" spans="1:30" s="80" customFormat="1" x14ac:dyDescent="0.25">
      <c r="A78" s="46" t="s">
        <v>19</v>
      </c>
      <c r="B78" s="47" t="s">
        <v>137</v>
      </c>
      <c r="C78" s="24"/>
      <c r="D78" s="162"/>
      <c r="E78" s="25"/>
      <c r="F78" s="25"/>
      <c r="G78" s="26">
        <f t="shared" si="16"/>
        <v>0</v>
      </c>
      <c r="H78" s="27">
        <v>0</v>
      </c>
      <c r="I78" s="220"/>
      <c r="J78" s="229">
        <f t="shared" si="7"/>
        <v>0</v>
      </c>
      <c r="K78" s="229">
        <f t="shared" si="15"/>
        <v>0</v>
      </c>
      <c r="L78" s="93"/>
      <c r="M78" s="90"/>
      <c r="N78" s="98"/>
      <c r="O78" s="91"/>
      <c r="P78" s="92"/>
      <c r="Q78" s="93"/>
      <c r="R78" s="29"/>
      <c r="S78" s="29"/>
      <c r="T78" s="94"/>
      <c r="U78" s="109"/>
      <c r="V78" s="104"/>
      <c r="W78" s="106"/>
      <c r="X78" s="106"/>
      <c r="Y78" s="106"/>
      <c r="Z78" s="107"/>
      <c r="AA78" s="136"/>
      <c r="AB78" s="196">
        <f t="shared" si="12"/>
        <v>0</v>
      </c>
      <c r="AC78" s="185">
        <f t="shared" si="13"/>
        <v>0</v>
      </c>
      <c r="AD78" s="185">
        <f t="shared" si="14"/>
        <v>0</v>
      </c>
    </row>
    <row r="79" spans="1:30" ht="31.5" x14ac:dyDescent="0.25">
      <c r="A79" s="48" t="s">
        <v>20</v>
      </c>
      <c r="B79" s="49" t="s">
        <v>105</v>
      </c>
      <c r="C79" s="144" t="s">
        <v>288</v>
      </c>
      <c r="D79" s="163">
        <v>9</v>
      </c>
      <c r="E79" s="145">
        <v>1804.86</v>
      </c>
      <c r="F79" s="145">
        <f t="shared" si="18"/>
        <v>16243.74</v>
      </c>
      <c r="G79" s="146">
        <f t="shared" si="16"/>
        <v>1629.23</v>
      </c>
      <c r="H79" s="147">
        <v>0</v>
      </c>
      <c r="I79" s="219">
        <f t="shared" si="6"/>
        <v>1629.23</v>
      </c>
      <c r="J79" s="215">
        <f t="shared" si="7"/>
        <v>1624.37</v>
      </c>
      <c r="K79" s="229">
        <f t="shared" si="15"/>
        <v>12990.14</v>
      </c>
      <c r="L79" s="103"/>
      <c r="M79" s="150">
        <f>F79</f>
        <v>16243.74</v>
      </c>
      <c r="N79" s="100"/>
      <c r="O79" s="101">
        <v>41435</v>
      </c>
      <c r="P79" s="102">
        <v>41436</v>
      </c>
      <c r="Q79" s="103"/>
      <c r="R79" s="104"/>
      <c r="S79" s="104">
        <f>K79</f>
        <v>12990.14</v>
      </c>
      <c r="T79" s="105"/>
      <c r="U79" s="109">
        <f t="shared" ref="U79:U89" si="22">J79*0.5</f>
        <v>812.19</v>
      </c>
      <c r="V79" s="104">
        <v>812.18</v>
      </c>
      <c r="W79" s="106"/>
      <c r="X79" s="106"/>
      <c r="Y79" s="106"/>
      <c r="Z79" s="107"/>
      <c r="AA79" s="136">
        <f t="shared" si="9"/>
        <v>1624.37</v>
      </c>
      <c r="AB79" s="196">
        <f t="shared" si="12"/>
        <v>1624.37</v>
      </c>
      <c r="AC79" s="185">
        <f t="shared" si="13"/>
        <v>0</v>
      </c>
      <c r="AD79" s="185">
        <f t="shared" si="14"/>
        <v>0</v>
      </c>
    </row>
    <row r="80" spans="1:30" ht="31.5" x14ac:dyDescent="0.25">
      <c r="A80" s="48" t="s">
        <v>21</v>
      </c>
      <c r="B80" s="49" t="s">
        <v>107</v>
      </c>
      <c r="C80" s="144" t="s">
        <v>288</v>
      </c>
      <c r="D80" s="163">
        <v>9</v>
      </c>
      <c r="E80" s="145">
        <v>4309.76</v>
      </c>
      <c r="F80" s="145">
        <f t="shared" si="18"/>
        <v>38787.839999999997</v>
      </c>
      <c r="G80" s="146">
        <f t="shared" si="16"/>
        <v>3890.38</v>
      </c>
      <c r="H80" s="147">
        <v>0</v>
      </c>
      <c r="I80" s="219">
        <f t="shared" si="6"/>
        <v>3890.38</v>
      </c>
      <c r="J80" s="215">
        <f t="shared" si="7"/>
        <v>3878.78</v>
      </c>
      <c r="K80" s="229">
        <f t="shared" si="15"/>
        <v>31018.68</v>
      </c>
      <c r="L80" s="103"/>
      <c r="M80" s="150">
        <f>F80</f>
        <v>38787.839999999997</v>
      </c>
      <c r="N80" s="100"/>
      <c r="O80" s="101">
        <v>41436</v>
      </c>
      <c r="P80" s="102">
        <v>41437</v>
      </c>
      <c r="Q80" s="103"/>
      <c r="R80" s="104"/>
      <c r="S80" s="104">
        <f>K80</f>
        <v>31018.68</v>
      </c>
      <c r="T80" s="105"/>
      <c r="U80" s="109">
        <f t="shared" si="22"/>
        <v>1939.39</v>
      </c>
      <c r="V80" s="104">
        <v>1939.39</v>
      </c>
      <c r="W80" s="106"/>
      <c r="X80" s="106"/>
      <c r="Y80" s="106"/>
      <c r="Z80" s="107"/>
      <c r="AA80" s="136">
        <f t="shared" si="9"/>
        <v>3878.78</v>
      </c>
      <c r="AB80" s="196">
        <f t="shared" ref="AB80:AB111" si="23">F80-I80-K80</f>
        <v>3878.78</v>
      </c>
      <c r="AC80" s="185">
        <f t="shared" ref="AC80:AC111" si="24">J80-AA80</f>
        <v>0</v>
      </c>
      <c r="AD80" s="185">
        <f t="shared" ref="AD80:AD111" si="25">J80-AA80</f>
        <v>0</v>
      </c>
    </row>
    <row r="81" spans="1:30" ht="31.5" x14ac:dyDescent="0.25">
      <c r="A81" s="48" t="s">
        <v>23</v>
      </c>
      <c r="B81" s="49" t="s">
        <v>109</v>
      </c>
      <c r="C81" s="144" t="s">
        <v>290</v>
      </c>
      <c r="D81" s="182">
        <v>153.22</v>
      </c>
      <c r="E81" s="183">
        <v>105.05</v>
      </c>
      <c r="F81" s="145">
        <f t="shared" si="18"/>
        <v>16095.76</v>
      </c>
      <c r="G81" s="146">
        <f t="shared" si="16"/>
        <v>1614.39</v>
      </c>
      <c r="H81" s="147">
        <v>0</v>
      </c>
      <c r="I81" s="219">
        <f t="shared" ref="I81:I144" si="26">G81</f>
        <v>1614.39</v>
      </c>
      <c r="J81" s="215">
        <f t="shared" si="7"/>
        <v>1609.58</v>
      </c>
      <c r="K81" s="229">
        <f t="shared" si="15"/>
        <v>12871.79</v>
      </c>
      <c r="L81" s="103"/>
      <c r="M81" s="99"/>
      <c r="N81" s="149">
        <f t="shared" ref="N81:N89" si="27">F81</f>
        <v>16095.76</v>
      </c>
      <c r="O81" s="101">
        <v>41451</v>
      </c>
      <c r="P81" s="102">
        <v>41452</v>
      </c>
      <c r="Q81" s="103"/>
      <c r="R81" s="104"/>
      <c r="S81" s="104"/>
      <c r="T81" s="105">
        <f t="shared" ref="T81:T89" si="28">K81</f>
        <v>12871.79</v>
      </c>
      <c r="U81" s="109">
        <f t="shared" si="22"/>
        <v>804.79</v>
      </c>
      <c r="V81" s="104">
        <v>804.79</v>
      </c>
      <c r="W81" s="106"/>
      <c r="X81" s="106"/>
      <c r="Y81" s="106"/>
      <c r="Z81" s="107"/>
      <c r="AA81" s="136">
        <f t="shared" si="9"/>
        <v>1609.58</v>
      </c>
      <c r="AB81" s="196">
        <f t="shared" si="23"/>
        <v>1609.58</v>
      </c>
      <c r="AC81" s="185">
        <f t="shared" si="24"/>
        <v>0</v>
      </c>
      <c r="AD81" s="185">
        <f t="shared" si="25"/>
        <v>0</v>
      </c>
    </row>
    <row r="82" spans="1:30" ht="31.5" x14ac:dyDescent="0.25">
      <c r="A82" s="48" t="s">
        <v>138</v>
      </c>
      <c r="B82" s="49" t="s">
        <v>111</v>
      </c>
      <c r="C82" s="144" t="s">
        <v>290</v>
      </c>
      <c r="D82" s="182">
        <v>153.22</v>
      </c>
      <c r="E82" s="145">
        <v>1436.37</v>
      </c>
      <c r="F82" s="145">
        <f t="shared" si="18"/>
        <v>220080.61</v>
      </c>
      <c r="G82" s="146">
        <f t="shared" si="16"/>
        <v>22073.83</v>
      </c>
      <c r="H82" s="147">
        <v>0</v>
      </c>
      <c r="I82" s="219">
        <f t="shared" si="26"/>
        <v>22073.83</v>
      </c>
      <c r="J82" s="215">
        <f t="shared" si="7"/>
        <v>22008.06</v>
      </c>
      <c r="K82" s="229">
        <f t="shared" ref="K82:K113" si="29">F82-I82-J82</f>
        <v>175998.72</v>
      </c>
      <c r="L82" s="103"/>
      <c r="M82" s="99"/>
      <c r="N82" s="149">
        <f t="shared" si="27"/>
        <v>220080.61</v>
      </c>
      <c r="O82" s="101">
        <v>41452</v>
      </c>
      <c r="P82" s="102">
        <v>41453</v>
      </c>
      <c r="Q82" s="103"/>
      <c r="R82" s="104"/>
      <c r="S82" s="104"/>
      <c r="T82" s="105">
        <f t="shared" si="28"/>
        <v>175998.72</v>
      </c>
      <c r="U82" s="109">
        <f t="shared" si="22"/>
        <v>11004.03</v>
      </c>
      <c r="V82" s="104">
        <v>11004.03</v>
      </c>
      <c r="W82" s="106"/>
      <c r="X82" s="106"/>
      <c r="Y82" s="106"/>
      <c r="Z82" s="107"/>
      <c r="AA82" s="136">
        <f t="shared" si="9"/>
        <v>22008.06</v>
      </c>
      <c r="AB82" s="196">
        <f t="shared" si="23"/>
        <v>22008.06</v>
      </c>
      <c r="AC82" s="185">
        <f t="shared" si="24"/>
        <v>0</v>
      </c>
      <c r="AD82" s="185">
        <f t="shared" si="25"/>
        <v>0</v>
      </c>
    </row>
    <row r="83" spans="1:30" ht="31.5" x14ac:dyDescent="0.25">
      <c r="A83" s="48" t="s">
        <v>139</v>
      </c>
      <c r="B83" s="49" t="s">
        <v>109</v>
      </c>
      <c r="C83" s="144" t="s">
        <v>290</v>
      </c>
      <c r="D83" s="182">
        <v>153.22</v>
      </c>
      <c r="E83" s="183">
        <v>105.05</v>
      </c>
      <c r="F83" s="145">
        <f t="shared" si="18"/>
        <v>16095.76</v>
      </c>
      <c r="G83" s="146">
        <f t="shared" ref="G83:G114" si="30">F83*$AE$6</f>
        <v>1614.39</v>
      </c>
      <c r="H83" s="147">
        <v>0</v>
      </c>
      <c r="I83" s="219">
        <f t="shared" si="26"/>
        <v>1614.39</v>
      </c>
      <c r="J83" s="215">
        <f t="shared" ref="J83:J146" si="31">F83*0.1</f>
        <v>1609.58</v>
      </c>
      <c r="K83" s="229">
        <f t="shared" si="29"/>
        <v>12871.79</v>
      </c>
      <c r="L83" s="103"/>
      <c r="M83" s="99"/>
      <c r="N83" s="149">
        <f t="shared" si="27"/>
        <v>16095.76</v>
      </c>
      <c r="O83" s="101">
        <v>41453</v>
      </c>
      <c r="P83" s="102">
        <v>41454</v>
      </c>
      <c r="Q83" s="103"/>
      <c r="R83" s="104"/>
      <c r="S83" s="104"/>
      <c r="T83" s="105">
        <f t="shared" si="28"/>
        <v>12871.79</v>
      </c>
      <c r="U83" s="109">
        <f t="shared" si="22"/>
        <v>804.79</v>
      </c>
      <c r="V83" s="104">
        <v>804.79</v>
      </c>
      <c r="W83" s="106"/>
      <c r="X83" s="106"/>
      <c r="Y83" s="106"/>
      <c r="Z83" s="107"/>
      <c r="AA83" s="136">
        <f t="shared" si="9"/>
        <v>1609.58</v>
      </c>
      <c r="AB83" s="196">
        <f t="shared" si="23"/>
        <v>1609.58</v>
      </c>
      <c r="AC83" s="185">
        <f t="shared" si="24"/>
        <v>0</v>
      </c>
      <c r="AD83" s="185">
        <f t="shared" si="25"/>
        <v>0</v>
      </c>
    </row>
    <row r="84" spans="1:30" ht="31.5" x14ac:dyDescent="0.25">
      <c r="A84" s="48" t="s">
        <v>140</v>
      </c>
      <c r="B84" s="49" t="s">
        <v>114</v>
      </c>
      <c r="C84" s="144" t="s">
        <v>290</v>
      </c>
      <c r="D84" s="182">
        <v>153.22</v>
      </c>
      <c r="E84" s="145">
        <v>68.680000000000007</v>
      </c>
      <c r="F84" s="145">
        <f t="shared" si="18"/>
        <v>10523.15</v>
      </c>
      <c r="G84" s="146">
        <f t="shared" si="30"/>
        <v>1055.46</v>
      </c>
      <c r="H84" s="147">
        <v>0</v>
      </c>
      <c r="I84" s="219">
        <f t="shared" si="26"/>
        <v>1055.46</v>
      </c>
      <c r="J84" s="215">
        <f t="shared" si="31"/>
        <v>1052.32</v>
      </c>
      <c r="K84" s="229">
        <f t="shared" si="29"/>
        <v>8415.3700000000008</v>
      </c>
      <c r="L84" s="103"/>
      <c r="M84" s="99"/>
      <c r="N84" s="149">
        <f t="shared" si="27"/>
        <v>10523.15</v>
      </c>
      <c r="O84" s="101">
        <v>41454</v>
      </c>
      <c r="P84" s="102">
        <v>41455</v>
      </c>
      <c r="Q84" s="103"/>
      <c r="R84" s="104"/>
      <c r="S84" s="104"/>
      <c r="T84" s="105">
        <f t="shared" si="28"/>
        <v>8415.3700000000008</v>
      </c>
      <c r="U84" s="109">
        <f t="shared" si="22"/>
        <v>526.16</v>
      </c>
      <c r="V84" s="104">
        <v>526.16</v>
      </c>
      <c r="W84" s="106"/>
      <c r="X84" s="106"/>
      <c r="Y84" s="106"/>
      <c r="Z84" s="107"/>
      <c r="AA84" s="136">
        <f t="shared" ref="AA84:AA147" si="32">U84+V84</f>
        <v>1052.32</v>
      </c>
      <c r="AB84" s="196">
        <f t="shared" si="23"/>
        <v>1052.32</v>
      </c>
      <c r="AC84" s="185">
        <f t="shared" si="24"/>
        <v>0</v>
      </c>
      <c r="AD84" s="185">
        <f t="shared" si="25"/>
        <v>0</v>
      </c>
    </row>
    <row r="85" spans="1:30" ht="31.5" x14ac:dyDescent="0.25">
      <c r="A85" s="48" t="s">
        <v>141</v>
      </c>
      <c r="B85" s="49" t="s">
        <v>116</v>
      </c>
      <c r="C85" s="144" t="s">
        <v>290</v>
      </c>
      <c r="D85" s="182">
        <v>153.22</v>
      </c>
      <c r="E85" s="145">
        <v>1162.1199999999999</v>
      </c>
      <c r="F85" s="145">
        <f t="shared" si="18"/>
        <v>178060.03</v>
      </c>
      <c r="G85" s="146">
        <f t="shared" si="30"/>
        <v>17859.21</v>
      </c>
      <c r="H85" s="147">
        <v>0</v>
      </c>
      <c r="I85" s="219">
        <f t="shared" si="26"/>
        <v>17859.21</v>
      </c>
      <c r="J85" s="215">
        <f t="shared" si="31"/>
        <v>17806</v>
      </c>
      <c r="K85" s="229">
        <f t="shared" si="29"/>
        <v>142394.82</v>
      </c>
      <c r="L85" s="103"/>
      <c r="M85" s="99"/>
      <c r="N85" s="149">
        <f t="shared" si="27"/>
        <v>178060.03</v>
      </c>
      <c r="O85" s="101">
        <v>41455</v>
      </c>
      <c r="P85" s="102">
        <v>41459</v>
      </c>
      <c r="Q85" s="103"/>
      <c r="R85" s="104"/>
      <c r="S85" s="104"/>
      <c r="T85" s="105">
        <f t="shared" si="28"/>
        <v>142394.82</v>
      </c>
      <c r="U85" s="109">
        <f t="shared" si="22"/>
        <v>8903</v>
      </c>
      <c r="V85" s="104">
        <v>8903</v>
      </c>
      <c r="W85" s="106"/>
      <c r="X85" s="106"/>
      <c r="Y85" s="106"/>
      <c r="Z85" s="107"/>
      <c r="AA85" s="136">
        <f t="shared" si="32"/>
        <v>17806</v>
      </c>
      <c r="AB85" s="196">
        <f t="shared" si="23"/>
        <v>17806</v>
      </c>
      <c r="AC85" s="185">
        <f t="shared" si="24"/>
        <v>0</v>
      </c>
      <c r="AD85" s="185">
        <f t="shared" si="25"/>
        <v>0</v>
      </c>
    </row>
    <row r="86" spans="1:30" ht="31.5" x14ac:dyDescent="0.25">
      <c r="A86" s="48" t="s">
        <v>142</v>
      </c>
      <c r="B86" s="49" t="s">
        <v>118</v>
      </c>
      <c r="C86" s="144" t="s">
        <v>290</v>
      </c>
      <c r="D86" s="163">
        <v>90</v>
      </c>
      <c r="E86" s="145">
        <v>1160.32</v>
      </c>
      <c r="F86" s="145">
        <f t="shared" si="18"/>
        <v>104428.8</v>
      </c>
      <c r="G86" s="146">
        <f t="shared" si="30"/>
        <v>10474.09</v>
      </c>
      <c r="H86" s="147">
        <v>0</v>
      </c>
      <c r="I86" s="219">
        <f t="shared" si="26"/>
        <v>10474.09</v>
      </c>
      <c r="J86" s="215">
        <f t="shared" si="31"/>
        <v>10442.879999999999</v>
      </c>
      <c r="K86" s="229">
        <f t="shared" si="29"/>
        <v>83511.83</v>
      </c>
      <c r="L86" s="103"/>
      <c r="M86" s="99"/>
      <c r="N86" s="149">
        <f t="shared" si="27"/>
        <v>104428.8</v>
      </c>
      <c r="O86" s="101">
        <v>41438</v>
      </c>
      <c r="P86" s="102">
        <v>41439</v>
      </c>
      <c r="Q86" s="103"/>
      <c r="R86" s="104"/>
      <c r="S86" s="104"/>
      <c r="T86" s="105">
        <f t="shared" si="28"/>
        <v>83511.83</v>
      </c>
      <c r="U86" s="109">
        <f t="shared" si="22"/>
        <v>5221.4399999999996</v>
      </c>
      <c r="V86" s="104">
        <v>5221.4399999999996</v>
      </c>
      <c r="W86" s="106"/>
      <c r="X86" s="106"/>
      <c r="Y86" s="106"/>
      <c r="Z86" s="107"/>
      <c r="AA86" s="136">
        <f t="shared" si="32"/>
        <v>10442.879999999999</v>
      </c>
      <c r="AB86" s="196">
        <f t="shared" si="23"/>
        <v>10442.879999999999</v>
      </c>
      <c r="AC86" s="185">
        <f t="shared" si="24"/>
        <v>0</v>
      </c>
      <c r="AD86" s="185">
        <f t="shared" si="25"/>
        <v>0</v>
      </c>
    </row>
    <row r="87" spans="1:30" ht="31.5" x14ac:dyDescent="0.25">
      <c r="A87" s="48" t="s">
        <v>143</v>
      </c>
      <c r="B87" s="49" t="s">
        <v>109</v>
      </c>
      <c r="C87" s="144" t="s">
        <v>290</v>
      </c>
      <c r="D87" s="163">
        <v>90</v>
      </c>
      <c r="E87" s="145">
        <v>79.31</v>
      </c>
      <c r="F87" s="145">
        <f t="shared" si="18"/>
        <v>7137.9</v>
      </c>
      <c r="G87" s="146">
        <f t="shared" si="30"/>
        <v>715.92</v>
      </c>
      <c r="H87" s="147">
        <v>0</v>
      </c>
      <c r="I87" s="219">
        <f t="shared" si="26"/>
        <v>715.92</v>
      </c>
      <c r="J87" s="215">
        <f t="shared" si="31"/>
        <v>713.79</v>
      </c>
      <c r="K87" s="229">
        <f t="shared" si="29"/>
        <v>5708.19</v>
      </c>
      <c r="L87" s="103"/>
      <c r="M87" s="99"/>
      <c r="N87" s="149">
        <f t="shared" si="27"/>
        <v>7137.9</v>
      </c>
      <c r="O87" s="101">
        <v>41439</v>
      </c>
      <c r="P87" s="102">
        <v>41440</v>
      </c>
      <c r="Q87" s="103"/>
      <c r="R87" s="104"/>
      <c r="S87" s="104"/>
      <c r="T87" s="105">
        <f t="shared" si="28"/>
        <v>5708.19</v>
      </c>
      <c r="U87" s="109">
        <f t="shared" si="22"/>
        <v>356.9</v>
      </c>
      <c r="V87" s="104">
        <v>356.89</v>
      </c>
      <c r="W87" s="106"/>
      <c r="X87" s="106"/>
      <c r="Y87" s="106"/>
      <c r="Z87" s="107"/>
      <c r="AA87" s="136">
        <f t="shared" si="32"/>
        <v>713.79</v>
      </c>
      <c r="AB87" s="196">
        <f t="shared" si="23"/>
        <v>713.79</v>
      </c>
      <c r="AC87" s="185">
        <f t="shared" si="24"/>
        <v>0</v>
      </c>
      <c r="AD87" s="185">
        <f t="shared" si="25"/>
        <v>0</v>
      </c>
    </row>
    <row r="88" spans="1:30" ht="31.5" x14ac:dyDescent="0.25">
      <c r="A88" s="48" t="s">
        <v>144</v>
      </c>
      <c r="B88" s="49" t="s">
        <v>122</v>
      </c>
      <c r="C88" s="144" t="s">
        <v>290</v>
      </c>
      <c r="D88" s="163">
        <v>90</v>
      </c>
      <c r="E88" s="145">
        <v>469.55</v>
      </c>
      <c r="F88" s="145">
        <f t="shared" si="18"/>
        <v>42259.5</v>
      </c>
      <c r="G88" s="146">
        <f t="shared" si="30"/>
        <v>4238.58</v>
      </c>
      <c r="H88" s="147">
        <v>0</v>
      </c>
      <c r="I88" s="219">
        <f t="shared" si="26"/>
        <v>4238.58</v>
      </c>
      <c r="J88" s="215">
        <f t="shared" si="31"/>
        <v>4225.95</v>
      </c>
      <c r="K88" s="229">
        <f t="shared" si="29"/>
        <v>33794.97</v>
      </c>
      <c r="L88" s="103"/>
      <c r="M88" s="99"/>
      <c r="N88" s="149">
        <f t="shared" si="27"/>
        <v>42259.5</v>
      </c>
      <c r="O88" s="101">
        <v>41441</v>
      </c>
      <c r="P88" s="102">
        <v>41443</v>
      </c>
      <c r="Q88" s="103"/>
      <c r="R88" s="104"/>
      <c r="S88" s="104"/>
      <c r="T88" s="105">
        <f t="shared" si="28"/>
        <v>33794.97</v>
      </c>
      <c r="U88" s="109">
        <f t="shared" si="22"/>
        <v>2112.98</v>
      </c>
      <c r="V88" s="104">
        <v>2112.9699999999998</v>
      </c>
      <c r="W88" s="106"/>
      <c r="X88" s="106"/>
      <c r="Y88" s="106"/>
      <c r="Z88" s="107"/>
      <c r="AA88" s="136">
        <f t="shared" si="32"/>
        <v>4225.95</v>
      </c>
      <c r="AB88" s="196">
        <f t="shared" si="23"/>
        <v>4225.95</v>
      </c>
      <c r="AC88" s="185">
        <f t="shared" si="24"/>
        <v>0</v>
      </c>
      <c r="AD88" s="185">
        <f t="shared" si="25"/>
        <v>0</v>
      </c>
    </row>
    <row r="89" spans="1:30" ht="63" x14ac:dyDescent="0.25">
      <c r="A89" s="48" t="s">
        <v>145</v>
      </c>
      <c r="B89" s="49" t="s">
        <v>124</v>
      </c>
      <c r="C89" s="144" t="s">
        <v>288</v>
      </c>
      <c r="D89" s="163">
        <v>67.5</v>
      </c>
      <c r="E89" s="145">
        <v>8134.97</v>
      </c>
      <c r="F89" s="145">
        <f t="shared" si="18"/>
        <v>549110.48</v>
      </c>
      <c r="G89" s="146">
        <f t="shared" si="30"/>
        <v>55075.14</v>
      </c>
      <c r="H89" s="147">
        <v>0</v>
      </c>
      <c r="I89" s="219">
        <f t="shared" si="26"/>
        <v>55075.14</v>
      </c>
      <c r="J89" s="215">
        <f t="shared" si="31"/>
        <v>54911.05</v>
      </c>
      <c r="K89" s="229">
        <f t="shared" si="29"/>
        <v>439124.29</v>
      </c>
      <c r="L89" s="103"/>
      <c r="M89" s="99"/>
      <c r="N89" s="149">
        <f t="shared" si="27"/>
        <v>549110.48</v>
      </c>
      <c r="O89" s="101">
        <v>41445</v>
      </c>
      <c r="P89" s="102">
        <v>41449</v>
      </c>
      <c r="Q89" s="103"/>
      <c r="R89" s="104"/>
      <c r="S89" s="104"/>
      <c r="T89" s="105">
        <f t="shared" si="28"/>
        <v>439124.29</v>
      </c>
      <c r="U89" s="109">
        <f t="shared" si="22"/>
        <v>27455.53</v>
      </c>
      <c r="V89" s="104">
        <v>27455.52</v>
      </c>
      <c r="W89" s="106"/>
      <c r="X89" s="106"/>
      <c r="Y89" s="106"/>
      <c r="Z89" s="107"/>
      <c r="AA89" s="136">
        <f t="shared" si="32"/>
        <v>54911.05</v>
      </c>
      <c r="AB89" s="196">
        <f t="shared" si="23"/>
        <v>54911.05</v>
      </c>
      <c r="AC89" s="185">
        <f t="shared" si="24"/>
        <v>0</v>
      </c>
      <c r="AD89" s="185">
        <f t="shared" si="25"/>
        <v>0</v>
      </c>
    </row>
    <row r="90" spans="1:30" s="80" customFormat="1" x14ac:dyDescent="0.25">
      <c r="A90" s="46" t="s">
        <v>146</v>
      </c>
      <c r="B90" s="47" t="s">
        <v>147</v>
      </c>
      <c r="C90" s="24"/>
      <c r="D90" s="162"/>
      <c r="E90" s="25"/>
      <c r="F90" s="25"/>
      <c r="G90" s="26">
        <f t="shared" si="30"/>
        <v>0</v>
      </c>
      <c r="H90" s="27">
        <v>0</v>
      </c>
      <c r="I90" s="220"/>
      <c r="J90" s="229">
        <f t="shared" si="31"/>
        <v>0</v>
      </c>
      <c r="K90" s="229">
        <f t="shared" si="29"/>
        <v>0</v>
      </c>
      <c r="L90" s="93"/>
      <c r="M90" s="90"/>
      <c r="N90" s="98"/>
      <c r="O90" s="91"/>
      <c r="P90" s="92"/>
      <c r="Q90" s="93"/>
      <c r="R90" s="29"/>
      <c r="S90" s="29"/>
      <c r="T90" s="94"/>
      <c r="U90" s="109"/>
      <c r="V90" s="104"/>
      <c r="W90" s="106"/>
      <c r="X90" s="106"/>
      <c r="Y90" s="106"/>
      <c r="Z90" s="107"/>
      <c r="AA90" s="136"/>
      <c r="AB90" s="196">
        <f t="shared" si="23"/>
        <v>0</v>
      </c>
      <c r="AC90" s="185">
        <f t="shared" si="24"/>
        <v>0</v>
      </c>
      <c r="AD90" s="185">
        <f t="shared" si="25"/>
        <v>0</v>
      </c>
    </row>
    <row r="91" spans="1:30" ht="31.5" x14ac:dyDescent="0.25">
      <c r="A91" s="48" t="s">
        <v>148</v>
      </c>
      <c r="B91" s="49" t="s">
        <v>105</v>
      </c>
      <c r="C91" s="144" t="s">
        <v>288</v>
      </c>
      <c r="D91" s="181">
        <v>3.36</v>
      </c>
      <c r="E91" s="145">
        <v>1804.86</v>
      </c>
      <c r="F91" s="145">
        <f t="shared" si="18"/>
        <v>6064.33</v>
      </c>
      <c r="G91" s="146">
        <f t="shared" si="30"/>
        <v>608.25</v>
      </c>
      <c r="H91" s="147">
        <v>0</v>
      </c>
      <c r="I91" s="219">
        <f t="shared" si="26"/>
        <v>608.25</v>
      </c>
      <c r="J91" s="215">
        <f t="shared" si="31"/>
        <v>606.42999999999995</v>
      </c>
      <c r="K91" s="229">
        <f t="shared" si="29"/>
        <v>4849.6499999999996</v>
      </c>
      <c r="L91" s="103"/>
      <c r="M91" s="150">
        <f>F91</f>
        <v>6064.33</v>
      </c>
      <c r="N91" s="100"/>
      <c r="O91" s="101">
        <v>41435</v>
      </c>
      <c r="P91" s="102">
        <v>41436</v>
      </c>
      <c r="Q91" s="103"/>
      <c r="R91" s="104"/>
      <c r="S91" s="104">
        <f>K91</f>
        <v>4849.6499999999996</v>
      </c>
      <c r="T91" s="105"/>
      <c r="U91" s="109">
        <f t="shared" ref="U91:U101" si="33">J91*0.5</f>
        <v>303.22000000000003</v>
      </c>
      <c r="V91" s="104">
        <v>303.20999999999998</v>
      </c>
      <c r="W91" s="106"/>
      <c r="X91" s="106"/>
      <c r="Y91" s="106"/>
      <c r="Z91" s="107"/>
      <c r="AA91" s="136">
        <f t="shared" si="32"/>
        <v>606.42999999999995</v>
      </c>
      <c r="AB91" s="196">
        <f t="shared" si="23"/>
        <v>606.42999999999995</v>
      </c>
      <c r="AC91" s="185">
        <f t="shared" si="24"/>
        <v>0</v>
      </c>
      <c r="AD91" s="185">
        <f t="shared" si="25"/>
        <v>0</v>
      </c>
    </row>
    <row r="92" spans="1:30" ht="31.5" x14ac:dyDescent="0.25">
      <c r="A92" s="48" t="s">
        <v>149</v>
      </c>
      <c r="B92" s="49" t="s">
        <v>107</v>
      </c>
      <c r="C92" s="144" t="s">
        <v>288</v>
      </c>
      <c r="D92" s="181">
        <v>3.36</v>
      </c>
      <c r="E92" s="145">
        <v>4309.76</v>
      </c>
      <c r="F92" s="145">
        <f t="shared" si="18"/>
        <v>14480.79</v>
      </c>
      <c r="G92" s="146">
        <f t="shared" si="30"/>
        <v>1452.41</v>
      </c>
      <c r="H92" s="147">
        <v>0</v>
      </c>
      <c r="I92" s="219">
        <f t="shared" si="26"/>
        <v>1452.41</v>
      </c>
      <c r="J92" s="215">
        <f t="shared" si="31"/>
        <v>1448.08</v>
      </c>
      <c r="K92" s="229">
        <f t="shared" si="29"/>
        <v>11580.3</v>
      </c>
      <c r="L92" s="103"/>
      <c r="M92" s="150">
        <f>F92</f>
        <v>14480.79</v>
      </c>
      <c r="N92" s="100"/>
      <c r="O92" s="101">
        <v>41436</v>
      </c>
      <c r="P92" s="102">
        <v>41437</v>
      </c>
      <c r="Q92" s="103"/>
      <c r="R92" s="104"/>
      <c r="S92" s="104">
        <f>K92</f>
        <v>11580.3</v>
      </c>
      <c r="T92" s="105"/>
      <c r="U92" s="109">
        <f t="shared" si="33"/>
        <v>724.04</v>
      </c>
      <c r="V92" s="104">
        <v>724.04</v>
      </c>
      <c r="W92" s="106"/>
      <c r="X92" s="106"/>
      <c r="Y92" s="106"/>
      <c r="Z92" s="107"/>
      <c r="AA92" s="136">
        <f t="shared" si="32"/>
        <v>1448.08</v>
      </c>
      <c r="AB92" s="196">
        <f t="shared" si="23"/>
        <v>1448.08</v>
      </c>
      <c r="AC92" s="185">
        <f t="shared" si="24"/>
        <v>0</v>
      </c>
      <c r="AD92" s="185">
        <f t="shared" si="25"/>
        <v>0</v>
      </c>
    </row>
    <row r="93" spans="1:30" ht="31.5" x14ac:dyDescent="0.25">
      <c r="A93" s="48" t="s">
        <v>150</v>
      </c>
      <c r="B93" s="49" t="s">
        <v>109</v>
      </c>
      <c r="C93" s="144" t="s">
        <v>290</v>
      </c>
      <c r="D93" s="163">
        <v>49.2</v>
      </c>
      <c r="E93" s="145">
        <v>105.1</v>
      </c>
      <c r="F93" s="145">
        <f t="shared" si="18"/>
        <v>5170.92</v>
      </c>
      <c r="G93" s="146">
        <f t="shared" si="30"/>
        <v>518.64</v>
      </c>
      <c r="H93" s="147">
        <v>0</v>
      </c>
      <c r="I93" s="219">
        <f t="shared" si="26"/>
        <v>518.64</v>
      </c>
      <c r="J93" s="215">
        <f t="shared" si="31"/>
        <v>517.09</v>
      </c>
      <c r="K93" s="229">
        <f t="shared" si="29"/>
        <v>4135.1899999999996</v>
      </c>
      <c r="L93" s="103"/>
      <c r="M93" s="99"/>
      <c r="N93" s="149">
        <f t="shared" ref="N93:N101" si="34">F93</f>
        <v>5170.92</v>
      </c>
      <c r="O93" s="101">
        <v>41451</v>
      </c>
      <c r="P93" s="102">
        <v>41452</v>
      </c>
      <c r="Q93" s="103"/>
      <c r="R93" s="104"/>
      <c r="S93" s="104"/>
      <c r="T93" s="105">
        <f t="shared" ref="T93:T101" si="35">K93</f>
        <v>4135.1899999999996</v>
      </c>
      <c r="U93" s="109">
        <f t="shared" si="33"/>
        <v>258.55</v>
      </c>
      <c r="V93" s="104">
        <v>258.54000000000002</v>
      </c>
      <c r="W93" s="106"/>
      <c r="X93" s="106"/>
      <c r="Y93" s="106"/>
      <c r="Z93" s="107"/>
      <c r="AA93" s="136">
        <f t="shared" si="32"/>
        <v>517.09</v>
      </c>
      <c r="AB93" s="196">
        <f t="shared" si="23"/>
        <v>517.09</v>
      </c>
      <c r="AC93" s="185">
        <f t="shared" si="24"/>
        <v>0</v>
      </c>
      <c r="AD93" s="185">
        <f t="shared" si="25"/>
        <v>0</v>
      </c>
    </row>
    <row r="94" spans="1:30" ht="31.5" x14ac:dyDescent="0.25">
      <c r="A94" s="48" t="s">
        <v>24</v>
      </c>
      <c r="B94" s="49" t="s">
        <v>111</v>
      </c>
      <c r="C94" s="144" t="s">
        <v>290</v>
      </c>
      <c r="D94" s="163">
        <v>49.2</v>
      </c>
      <c r="E94" s="145">
        <v>1436.37</v>
      </c>
      <c r="F94" s="145">
        <f t="shared" si="18"/>
        <v>70669.399999999994</v>
      </c>
      <c r="G94" s="146">
        <f t="shared" si="30"/>
        <v>7088.06</v>
      </c>
      <c r="H94" s="147">
        <v>0</v>
      </c>
      <c r="I94" s="219">
        <f t="shared" si="26"/>
        <v>7088.06</v>
      </c>
      <c r="J94" s="215">
        <f t="shared" si="31"/>
        <v>7066.94</v>
      </c>
      <c r="K94" s="229">
        <f t="shared" si="29"/>
        <v>56514.400000000001</v>
      </c>
      <c r="L94" s="103"/>
      <c r="M94" s="99"/>
      <c r="N94" s="149">
        <f t="shared" si="34"/>
        <v>70669.399999999994</v>
      </c>
      <c r="O94" s="101">
        <v>41452</v>
      </c>
      <c r="P94" s="102">
        <v>41453</v>
      </c>
      <c r="Q94" s="103"/>
      <c r="R94" s="104"/>
      <c r="S94" s="104"/>
      <c r="T94" s="105">
        <f t="shared" si="35"/>
        <v>56514.400000000001</v>
      </c>
      <c r="U94" s="109">
        <f t="shared" si="33"/>
        <v>3533.47</v>
      </c>
      <c r="V94" s="104">
        <v>3533.47</v>
      </c>
      <c r="W94" s="106"/>
      <c r="X94" s="106"/>
      <c r="Y94" s="106"/>
      <c r="Z94" s="107"/>
      <c r="AA94" s="136">
        <f t="shared" si="32"/>
        <v>7066.94</v>
      </c>
      <c r="AB94" s="196">
        <f t="shared" si="23"/>
        <v>7066.94</v>
      </c>
      <c r="AC94" s="185">
        <f t="shared" si="24"/>
        <v>0</v>
      </c>
      <c r="AD94" s="185">
        <f t="shared" si="25"/>
        <v>0</v>
      </c>
    </row>
    <row r="95" spans="1:30" ht="31.5" x14ac:dyDescent="0.25">
      <c r="A95" s="48" t="s">
        <v>151</v>
      </c>
      <c r="B95" s="49" t="s">
        <v>109</v>
      </c>
      <c r="C95" s="144" t="s">
        <v>290</v>
      </c>
      <c r="D95" s="163">
        <v>49.2</v>
      </c>
      <c r="E95" s="145">
        <v>105.1</v>
      </c>
      <c r="F95" s="145">
        <f t="shared" si="18"/>
        <v>5170.92</v>
      </c>
      <c r="G95" s="146">
        <f t="shared" si="30"/>
        <v>518.64</v>
      </c>
      <c r="H95" s="147">
        <v>0</v>
      </c>
      <c r="I95" s="219">
        <f t="shared" si="26"/>
        <v>518.64</v>
      </c>
      <c r="J95" s="215">
        <f t="shared" si="31"/>
        <v>517.09</v>
      </c>
      <c r="K95" s="229">
        <f t="shared" si="29"/>
        <v>4135.1899999999996</v>
      </c>
      <c r="L95" s="103"/>
      <c r="M95" s="99"/>
      <c r="N95" s="149">
        <f t="shared" si="34"/>
        <v>5170.92</v>
      </c>
      <c r="O95" s="101">
        <v>41453</v>
      </c>
      <c r="P95" s="102">
        <v>41454</v>
      </c>
      <c r="Q95" s="103"/>
      <c r="R95" s="104"/>
      <c r="S95" s="104"/>
      <c r="T95" s="105">
        <f t="shared" si="35"/>
        <v>4135.1899999999996</v>
      </c>
      <c r="U95" s="109">
        <f t="shared" si="33"/>
        <v>258.55</v>
      </c>
      <c r="V95" s="104">
        <v>258.54000000000002</v>
      </c>
      <c r="W95" s="106"/>
      <c r="X95" s="106"/>
      <c r="Y95" s="106"/>
      <c r="Z95" s="107"/>
      <c r="AA95" s="136">
        <f t="shared" si="32"/>
        <v>517.09</v>
      </c>
      <c r="AB95" s="196">
        <f t="shared" si="23"/>
        <v>517.09</v>
      </c>
      <c r="AC95" s="185">
        <f t="shared" si="24"/>
        <v>0</v>
      </c>
      <c r="AD95" s="185">
        <f t="shared" si="25"/>
        <v>0</v>
      </c>
    </row>
    <row r="96" spans="1:30" ht="31.5" x14ac:dyDescent="0.25">
      <c r="A96" s="48" t="s">
        <v>152</v>
      </c>
      <c r="B96" s="49" t="s">
        <v>114</v>
      </c>
      <c r="C96" s="144" t="s">
        <v>290</v>
      </c>
      <c r="D96" s="163">
        <v>49.2</v>
      </c>
      <c r="E96" s="145">
        <v>68.680000000000007</v>
      </c>
      <c r="F96" s="145">
        <f t="shared" si="18"/>
        <v>3379.06</v>
      </c>
      <c r="G96" s="146">
        <f t="shared" si="30"/>
        <v>338.92</v>
      </c>
      <c r="H96" s="147">
        <v>0</v>
      </c>
      <c r="I96" s="219">
        <f t="shared" si="26"/>
        <v>338.92</v>
      </c>
      <c r="J96" s="215">
        <f t="shared" si="31"/>
        <v>337.91</v>
      </c>
      <c r="K96" s="229">
        <f t="shared" si="29"/>
        <v>2702.23</v>
      </c>
      <c r="L96" s="103"/>
      <c r="M96" s="99"/>
      <c r="N96" s="149">
        <f t="shared" si="34"/>
        <v>3379.06</v>
      </c>
      <c r="O96" s="101">
        <v>41454</v>
      </c>
      <c r="P96" s="102">
        <v>41455</v>
      </c>
      <c r="Q96" s="103"/>
      <c r="R96" s="104"/>
      <c r="S96" s="104"/>
      <c r="T96" s="105">
        <f t="shared" si="35"/>
        <v>2702.23</v>
      </c>
      <c r="U96" s="109">
        <f t="shared" si="33"/>
        <v>168.96</v>
      </c>
      <c r="V96" s="104">
        <v>168.95</v>
      </c>
      <c r="W96" s="106"/>
      <c r="X96" s="106"/>
      <c r="Y96" s="106"/>
      <c r="Z96" s="107"/>
      <c r="AA96" s="136">
        <f t="shared" si="32"/>
        <v>337.91</v>
      </c>
      <c r="AB96" s="196">
        <f t="shared" si="23"/>
        <v>337.91</v>
      </c>
      <c r="AC96" s="185">
        <f t="shared" si="24"/>
        <v>0</v>
      </c>
      <c r="AD96" s="185">
        <f t="shared" si="25"/>
        <v>0</v>
      </c>
    </row>
    <row r="97" spans="1:30" ht="31.5" x14ac:dyDescent="0.25">
      <c r="A97" s="48" t="s">
        <v>153</v>
      </c>
      <c r="B97" s="49" t="s">
        <v>116</v>
      </c>
      <c r="C97" s="144" t="s">
        <v>290</v>
      </c>
      <c r="D97" s="163">
        <v>49.2</v>
      </c>
      <c r="E97" s="145">
        <v>1162.1199999999999</v>
      </c>
      <c r="F97" s="145">
        <f t="shared" si="18"/>
        <v>57176.3</v>
      </c>
      <c r="G97" s="146">
        <f t="shared" si="30"/>
        <v>5734.72</v>
      </c>
      <c r="H97" s="147">
        <v>0</v>
      </c>
      <c r="I97" s="219">
        <f t="shared" si="26"/>
        <v>5734.72</v>
      </c>
      <c r="J97" s="215">
        <f t="shared" si="31"/>
        <v>5717.63</v>
      </c>
      <c r="K97" s="229">
        <f t="shared" si="29"/>
        <v>45723.95</v>
      </c>
      <c r="L97" s="103"/>
      <c r="M97" s="99"/>
      <c r="N97" s="149">
        <f t="shared" si="34"/>
        <v>57176.3</v>
      </c>
      <c r="O97" s="101">
        <v>41455</v>
      </c>
      <c r="P97" s="102">
        <v>41459</v>
      </c>
      <c r="Q97" s="103"/>
      <c r="R97" s="104"/>
      <c r="S97" s="104"/>
      <c r="T97" s="105">
        <f t="shared" si="35"/>
        <v>45723.95</v>
      </c>
      <c r="U97" s="109">
        <f t="shared" si="33"/>
        <v>2858.82</v>
      </c>
      <c r="V97" s="104">
        <v>2858.81</v>
      </c>
      <c r="W97" s="106"/>
      <c r="X97" s="106"/>
      <c r="Y97" s="106"/>
      <c r="Z97" s="107"/>
      <c r="AA97" s="136">
        <f t="shared" si="32"/>
        <v>5717.63</v>
      </c>
      <c r="AB97" s="196">
        <f t="shared" si="23"/>
        <v>5717.63</v>
      </c>
      <c r="AC97" s="185">
        <f t="shared" si="24"/>
        <v>0</v>
      </c>
      <c r="AD97" s="185">
        <f t="shared" si="25"/>
        <v>0</v>
      </c>
    </row>
    <row r="98" spans="1:30" ht="31.5" x14ac:dyDescent="0.25">
      <c r="A98" s="48" t="s">
        <v>154</v>
      </c>
      <c r="B98" s="49" t="s">
        <v>118</v>
      </c>
      <c r="C98" s="144" t="s">
        <v>290</v>
      </c>
      <c r="D98" s="163">
        <v>33.619999999999997</v>
      </c>
      <c r="E98" s="145">
        <v>1160.32</v>
      </c>
      <c r="F98" s="145">
        <f t="shared" si="18"/>
        <v>39009.96</v>
      </c>
      <c r="G98" s="146">
        <f t="shared" si="30"/>
        <v>3912.65</v>
      </c>
      <c r="H98" s="147">
        <v>0</v>
      </c>
      <c r="I98" s="219">
        <f t="shared" si="26"/>
        <v>3912.65</v>
      </c>
      <c r="J98" s="215">
        <f t="shared" si="31"/>
        <v>3901</v>
      </c>
      <c r="K98" s="229">
        <f t="shared" si="29"/>
        <v>31196.31</v>
      </c>
      <c r="L98" s="103"/>
      <c r="M98" s="99"/>
      <c r="N98" s="149">
        <f t="shared" si="34"/>
        <v>39009.96</v>
      </c>
      <c r="O98" s="101">
        <v>41438</v>
      </c>
      <c r="P98" s="102">
        <v>41439</v>
      </c>
      <c r="Q98" s="103"/>
      <c r="R98" s="104"/>
      <c r="S98" s="104"/>
      <c r="T98" s="105">
        <f t="shared" si="35"/>
        <v>31196.31</v>
      </c>
      <c r="U98" s="109">
        <f t="shared" si="33"/>
        <v>1950.5</v>
      </c>
      <c r="V98" s="104">
        <v>1950.5</v>
      </c>
      <c r="W98" s="106"/>
      <c r="X98" s="106"/>
      <c r="Y98" s="106"/>
      <c r="Z98" s="107"/>
      <c r="AA98" s="136">
        <f t="shared" si="32"/>
        <v>3901</v>
      </c>
      <c r="AB98" s="196">
        <f t="shared" si="23"/>
        <v>3901</v>
      </c>
      <c r="AC98" s="185">
        <f t="shared" si="24"/>
        <v>0</v>
      </c>
      <c r="AD98" s="185">
        <f t="shared" si="25"/>
        <v>0</v>
      </c>
    </row>
    <row r="99" spans="1:30" ht="31.5" x14ac:dyDescent="0.25">
      <c r="A99" s="48" t="s">
        <v>155</v>
      </c>
      <c r="B99" s="49" t="s">
        <v>109</v>
      </c>
      <c r="C99" s="144" t="s">
        <v>290</v>
      </c>
      <c r="D99" s="163">
        <v>33.619999999999997</v>
      </c>
      <c r="E99" s="145">
        <v>79.31</v>
      </c>
      <c r="F99" s="145">
        <f t="shared" si="18"/>
        <v>2666.4</v>
      </c>
      <c r="G99" s="146">
        <f t="shared" si="30"/>
        <v>267.44</v>
      </c>
      <c r="H99" s="147">
        <v>0</v>
      </c>
      <c r="I99" s="219">
        <f t="shared" si="26"/>
        <v>267.44</v>
      </c>
      <c r="J99" s="215">
        <f t="shared" si="31"/>
        <v>266.64</v>
      </c>
      <c r="K99" s="229">
        <f t="shared" si="29"/>
        <v>2132.3200000000002</v>
      </c>
      <c r="L99" s="103"/>
      <c r="M99" s="99"/>
      <c r="N99" s="149">
        <f t="shared" si="34"/>
        <v>2666.4</v>
      </c>
      <c r="O99" s="101">
        <v>41439</v>
      </c>
      <c r="P99" s="102">
        <v>41440</v>
      </c>
      <c r="Q99" s="103"/>
      <c r="R99" s="104"/>
      <c r="S99" s="104"/>
      <c r="T99" s="105">
        <f t="shared" si="35"/>
        <v>2132.3200000000002</v>
      </c>
      <c r="U99" s="109">
        <f t="shared" si="33"/>
        <v>133.32</v>
      </c>
      <c r="V99" s="104">
        <v>133.32</v>
      </c>
      <c r="W99" s="106"/>
      <c r="X99" s="106"/>
      <c r="Y99" s="106"/>
      <c r="Z99" s="107"/>
      <c r="AA99" s="136">
        <f t="shared" si="32"/>
        <v>266.64</v>
      </c>
      <c r="AB99" s="196">
        <f t="shared" si="23"/>
        <v>266.64</v>
      </c>
      <c r="AC99" s="185">
        <f t="shared" si="24"/>
        <v>0</v>
      </c>
      <c r="AD99" s="185">
        <f t="shared" si="25"/>
        <v>0</v>
      </c>
    </row>
    <row r="100" spans="1:30" ht="31.5" x14ac:dyDescent="0.25">
      <c r="A100" s="48" t="s">
        <v>156</v>
      </c>
      <c r="B100" s="49" t="s">
        <v>122</v>
      </c>
      <c r="C100" s="144" t="s">
        <v>290</v>
      </c>
      <c r="D100" s="163">
        <v>33.619999999999997</v>
      </c>
      <c r="E100" s="145">
        <v>469.55</v>
      </c>
      <c r="F100" s="145">
        <f t="shared" si="18"/>
        <v>15786.27</v>
      </c>
      <c r="G100" s="146">
        <f t="shared" si="30"/>
        <v>1583.34</v>
      </c>
      <c r="H100" s="147">
        <v>0</v>
      </c>
      <c r="I100" s="219">
        <f t="shared" si="26"/>
        <v>1583.34</v>
      </c>
      <c r="J100" s="215">
        <f t="shared" si="31"/>
        <v>1578.63</v>
      </c>
      <c r="K100" s="229">
        <f t="shared" si="29"/>
        <v>12624.3</v>
      </c>
      <c r="L100" s="103"/>
      <c r="M100" s="99"/>
      <c r="N100" s="149">
        <f t="shared" si="34"/>
        <v>15786.27</v>
      </c>
      <c r="O100" s="101">
        <v>41441</v>
      </c>
      <c r="P100" s="102">
        <v>41443</v>
      </c>
      <c r="Q100" s="103"/>
      <c r="R100" s="104"/>
      <c r="S100" s="104"/>
      <c r="T100" s="105">
        <f t="shared" si="35"/>
        <v>12624.3</v>
      </c>
      <c r="U100" s="109">
        <f t="shared" si="33"/>
        <v>789.32</v>
      </c>
      <c r="V100" s="104">
        <v>789.31</v>
      </c>
      <c r="W100" s="106"/>
      <c r="X100" s="106"/>
      <c r="Y100" s="106"/>
      <c r="Z100" s="107"/>
      <c r="AA100" s="136">
        <f t="shared" si="32"/>
        <v>1578.63</v>
      </c>
      <c r="AB100" s="196">
        <f t="shared" si="23"/>
        <v>1578.63</v>
      </c>
      <c r="AC100" s="185">
        <f t="shared" si="24"/>
        <v>0</v>
      </c>
      <c r="AD100" s="185">
        <f t="shared" si="25"/>
        <v>0</v>
      </c>
    </row>
    <row r="101" spans="1:30" ht="63" x14ac:dyDescent="0.25">
      <c r="A101" s="48" t="s">
        <v>157</v>
      </c>
      <c r="B101" s="49" t="s">
        <v>124</v>
      </c>
      <c r="C101" s="144" t="s">
        <v>288</v>
      </c>
      <c r="D101" s="182">
        <v>25.22</v>
      </c>
      <c r="E101" s="145">
        <v>8134.97</v>
      </c>
      <c r="F101" s="145">
        <f t="shared" si="18"/>
        <v>205163.94</v>
      </c>
      <c r="G101" s="146">
        <f t="shared" si="30"/>
        <v>20577.7</v>
      </c>
      <c r="H101" s="147">
        <v>0</v>
      </c>
      <c r="I101" s="219">
        <f t="shared" si="26"/>
        <v>20577.7</v>
      </c>
      <c r="J101" s="215">
        <f t="shared" si="31"/>
        <v>20516.39</v>
      </c>
      <c r="K101" s="229">
        <f t="shared" si="29"/>
        <v>164069.85</v>
      </c>
      <c r="L101" s="103"/>
      <c r="M101" s="99"/>
      <c r="N101" s="149">
        <f t="shared" si="34"/>
        <v>205163.94</v>
      </c>
      <c r="O101" s="101">
        <v>41445</v>
      </c>
      <c r="P101" s="102">
        <v>41449</v>
      </c>
      <c r="Q101" s="103"/>
      <c r="R101" s="104"/>
      <c r="S101" s="104"/>
      <c r="T101" s="105">
        <f t="shared" si="35"/>
        <v>164069.85</v>
      </c>
      <c r="U101" s="109">
        <f t="shared" si="33"/>
        <v>10258.200000000001</v>
      </c>
      <c r="V101" s="104">
        <v>10258.19</v>
      </c>
      <c r="W101" s="106"/>
      <c r="X101" s="106"/>
      <c r="Y101" s="106"/>
      <c r="Z101" s="107"/>
      <c r="AA101" s="136">
        <f t="shared" si="32"/>
        <v>20516.39</v>
      </c>
      <c r="AB101" s="196">
        <f t="shared" si="23"/>
        <v>20516.39</v>
      </c>
      <c r="AC101" s="185">
        <f t="shared" si="24"/>
        <v>0</v>
      </c>
      <c r="AD101" s="185">
        <f t="shared" si="25"/>
        <v>0</v>
      </c>
    </row>
    <row r="102" spans="1:30" s="80" customFormat="1" x14ac:dyDescent="0.25">
      <c r="A102" s="46" t="s">
        <v>158</v>
      </c>
      <c r="B102" s="47" t="s">
        <v>159</v>
      </c>
      <c r="C102" s="24"/>
      <c r="D102" s="162"/>
      <c r="E102" s="25"/>
      <c r="F102" s="25"/>
      <c r="G102" s="26">
        <f t="shared" si="30"/>
        <v>0</v>
      </c>
      <c r="H102" s="27"/>
      <c r="I102" s="220"/>
      <c r="J102" s="229">
        <f t="shared" si="31"/>
        <v>0</v>
      </c>
      <c r="K102" s="229">
        <f t="shared" si="29"/>
        <v>0</v>
      </c>
      <c r="L102" s="93"/>
      <c r="M102" s="90"/>
      <c r="N102" s="98"/>
      <c r="O102" s="91"/>
      <c r="P102" s="92"/>
      <c r="Q102" s="93"/>
      <c r="R102" s="29"/>
      <c r="S102" s="29"/>
      <c r="T102" s="94"/>
      <c r="U102" s="109"/>
      <c r="V102" s="104"/>
      <c r="W102" s="106"/>
      <c r="X102" s="106"/>
      <c r="Y102" s="106"/>
      <c r="Z102" s="107"/>
      <c r="AA102" s="136"/>
      <c r="AB102" s="196">
        <f t="shared" si="23"/>
        <v>0</v>
      </c>
      <c r="AC102" s="185">
        <f t="shared" si="24"/>
        <v>0</v>
      </c>
      <c r="AD102" s="185">
        <f t="shared" si="25"/>
        <v>0</v>
      </c>
    </row>
    <row r="103" spans="1:30" ht="31.5" x14ac:dyDescent="0.25">
      <c r="A103" s="48" t="s">
        <v>160</v>
      </c>
      <c r="B103" s="49" t="s">
        <v>105</v>
      </c>
      <c r="C103" s="144" t="s">
        <v>288</v>
      </c>
      <c r="D103" s="181">
        <v>1.26</v>
      </c>
      <c r="E103" s="145">
        <v>1804.86</v>
      </c>
      <c r="F103" s="145">
        <f t="shared" si="18"/>
        <v>2274.12</v>
      </c>
      <c r="G103" s="146">
        <f t="shared" si="30"/>
        <v>228.09</v>
      </c>
      <c r="H103" s="147">
        <v>0</v>
      </c>
      <c r="I103" s="219">
        <f t="shared" si="26"/>
        <v>228.09</v>
      </c>
      <c r="J103" s="215">
        <f t="shared" si="31"/>
        <v>227.41</v>
      </c>
      <c r="K103" s="229">
        <f t="shared" si="29"/>
        <v>1818.62</v>
      </c>
      <c r="L103" s="103"/>
      <c r="M103" s="150">
        <f>F103</f>
        <v>2274.12</v>
      </c>
      <c r="N103" s="100"/>
      <c r="O103" s="101">
        <v>41435</v>
      </c>
      <c r="P103" s="102">
        <v>41436</v>
      </c>
      <c r="Q103" s="103"/>
      <c r="R103" s="104"/>
      <c r="S103" s="104">
        <f>K103</f>
        <v>1818.62</v>
      </c>
      <c r="T103" s="105"/>
      <c r="U103" s="109">
        <f t="shared" ref="U103:U113" si="36">J103*0.5</f>
        <v>113.71</v>
      </c>
      <c r="V103" s="104">
        <v>113.7</v>
      </c>
      <c r="W103" s="106"/>
      <c r="X103" s="106"/>
      <c r="Y103" s="106"/>
      <c r="Z103" s="107"/>
      <c r="AA103" s="136">
        <f t="shared" si="32"/>
        <v>227.41</v>
      </c>
      <c r="AB103" s="196">
        <f t="shared" si="23"/>
        <v>227.41</v>
      </c>
      <c r="AC103" s="185">
        <f t="shared" si="24"/>
        <v>0</v>
      </c>
      <c r="AD103" s="185">
        <f t="shared" si="25"/>
        <v>0</v>
      </c>
    </row>
    <row r="104" spans="1:30" ht="31.5" x14ac:dyDescent="0.25">
      <c r="A104" s="48" t="s">
        <v>161</v>
      </c>
      <c r="B104" s="49" t="s">
        <v>107</v>
      </c>
      <c r="C104" s="144" t="s">
        <v>288</v>
      </c>
      <c r="D104" s="181">
        <v>1.26</v>
      </c>
      <c r="E104" s="145">
        <v>4309.76</v>
      </c>
      <c r="F104" s="145">
        <f t="shared" si="18"/>
        <v>5430.3</v>
      </c>
      <c r="G104" s="146">
        <f t="shared" si="30"/>
        <v>544.65</v>
      </c>
      <c r="H104" s="147">
        <v>0</v>
      </c>
      <c r="I104" s="219">
        <f t="shared" si="26"/>
        <v>544.65</v>
      </c>
      <c r="J104" s="215">
        <f t="shared" si="31"/>
        <v>543.03</v>
      </c>
      <c r="K104" s="229">
        <f t="shared" si="29"/>
        <v>4342.62</v>
      </c>
      <c r="L104" s="103"/>
      <c r="M104" s="150">
        <f>F104</f>
        <v>5430.3</v>
      </c>
      <c r="N104" s="100"/>
      <c r="O104" s="101">
        <v>41436</v>
      </c>
      <c r="P104" s="102">
        <v>41437</v>
      </c>
      <c r="Q104" s="103"/>
      <c r="R104" s="104"/>
      <c r="S104" s="104">
        <f>K104</f>
        <v>4342.62</v>
      </c>
      <c r="T104" s="105"/>
      <c r="U104" s="109">
        <f t="shared" si="36"/>
        <v>271.52</v>
      </c>
      <c r="V104" s="104">
        <v>271.51</v>
      </c>
      <c r="W104" s="106"/>
      <c r="X104" s="106"/>
      <c r="Y104" s="106"/>
      <c r="Z104" s="107"/>
      <c r="AA104" s="136">
        <f t="shared" si="32"/>
        <v>543.03</v>
      </c>
      <c r="AB104" s="196">
        <f t="shared" si="23"/>
        <v>543.03</v>
      </c>
      <c r="AC104" s="185">
        <f t="shared" si="24"/>
        <v>0</v>
      </c>
      <c r="AD104" s="185">
        <f t="shared" si="25"/>
        <v>0</v>
      </c>
    </row>
    <row r="105" spans="1:30" ht="31.5" x14ac:dyDescent="0.25">
      <c r="A105" s="48" t="s">
        <v>162</v>
      </c>
      <c r="B105" s="49" t="s">
        <v>109</v>
      </c>
      <c r="C105" s="144" t="s">
        <v>290</v>
      </c>
      <c r="D105" s="163">
        <v>18.45</v>
      </c>
      <c r="E105" s="145">
        <v>105.1</v>
      </c>
      <c r="F105" s="145">
        <f t="shared" si="18"/>
        <v>1939.1</v>
      </c>
      <c r="G105" s="146">
        <f t="shared" si="30"/>
        <v>194.49</v>
      </c>
      <c r="H105" s="147">
        <v>0</v>
      </c>
      <c r="I105" s="219">
        <f t="shared" si="26"/>
        <v>194.49</v>
      </c>
      <c r="J105" s="215">
        <f t="shared" si="31"/>
        <v>193.91</v>
      </c>
      <c r="K105" s="229">
        <f t="shared" si="29"/>
        <v>1550.7</v>
      </c>
      <c r="L105" s="103"/>
      <c r="M105" s="99"/>
      <c r="N105" s="149">
        <f t="shared" ref="N105:N113" si="37">F105</f>
        <v>1939.1</v>
      </c>
      <c r="O105" s="101">
        <v>41451</v>
      </c>
      <c r="P105" s="102">
        <v>41452</v>
      </c>
      <c r="Q105" s="103"/>
      <c r="R105" s="104"/>
      <c r="S105" s="104"/>
      <c r="T105" s="105">
        <f t="shared" ref="T105:T113" si="38">K105</f>
        <v>1550.7</v>
      </c>
      <c r="U105" s="109">
        <f t="shared" si="36"/>
        <v>96.96</v>
      </c>
      <c r="V105" s="104">
        <v>96.95</v>
      </c>
      <c r="W105" s="106"/>
      <c r="X105" s="106"/>
      <c r="Y105" s="106"/>
      <c r="Z105" s="107"/>
      <c r="AA105" s="136">
        <f t="shared" si="32"/>
        <v>193.91</v>
      </c>
      <c r="AB105" s="196">
        <f t="shared" si="23"/>
        <v>193.91</v>
      </c>
      <c r="AC105" s="185">
        <f t="shared" si="24"/>
        <v>0</v>
      </c>
      <c r="AD105" s="185">
        <f t="shared" si="25"/>
        <v>0</v>
      </c>
    </row>
    <row r="106" spans="1:30" ht="31.5" x14ac:dyDescent="0.25">
      <c r="A106" s="48" t="s">
        <v>163</v>
      </c>
      <c r="B106" s="49" t="s">
        <v>111</v>
      </c>
      <c r="C106" s="144" t="s">
        <v>290</v>
      </c>
      <c r="D106" s="163">
        <v>18.45</v>
      </c>
      <c r="E106" s="145">
        <v>1436.37</v>
      </c>
      <c r="F106" s="145">
        <f t="shared" si="18"/>
        <v>26501.03</v>
      </c>
      <c r="G106" s="146">
        <f t="shared" si="30"/>
        <v>2658.02</v>
      </c>
      <c r="H106" s="147">
        <v>0</v>
      </c>
      <c r="I106" s="219">
        <f t="shared" si="26"/>
        <v>2658.02</v>
      </c>
      <c r="J106" s="215">
        <f t="shared" si="31"/>
        <v>2650.1</v>
      </c>
      <c r="K106" s="229">
        <f t="shared" si="29"/>
        <v>21192.91</v>
      </c>
      <c r="L106" s="103"/>
      <c r="M106" s="99"/>
      <c r="N106" s="149">
        <f t="shared" si="37"/>
        <v>26501.03</v>
      </c>
      <c r="O106" s="101">
        <v>41452</v>
      </c>
      <c r="P106" s="102">
        <v>41453</v>
      </c>
      <c r="Q106" s="103"/>
      <c r="R106" s="104"/>
      <c r="S106" s="104"/>
      <c r="T106" s="105">
        <f t="shared" si="38"/>
        <v>21192.91</v>
      </c>
      <c r="U106" s="109">
        <f t="shared" si="36"/>
        <v>1325.05</v>
      </c>
      <c r="V106" s="104">
        <v>1325.05</v>
      </c>
      <c r="W106" s="106"/>
      <c r="X106" s="106"/>
      <c r="Y106" s="106"/>
      <c r="Z106" s="107"/>
      <c r="AA106" s="136">
        <f t="shared" si="32"/>
        <v>2650.1</v>
      </c>
      <c r="AB106" s="196">
        <f t="shared" si="23"/>
        <v>2650.1</v>
      </c>
      <c r="AC106" s="185">
        <f t="shared" si="24"/>
        <v>0</v>
      </c>
      <c r="AD106" s="185">
        <f t="shared" si="25"/>
        <v>0</v>
      </c>
    </row>
    <row r="107" spans="1:30" ht="31.5" x14ac:dyDescent="0.25">
      <c r="A107" s="48" t="s">
        <v>164</v>
      </c>
      <c r="B107" s="49" t="s">
        <v>109</v>
      </c>
      <c r="C107" s="144" t="s">
        <v>290</v>
      </c>
      <c r="D107" s="163">
        <v>18.45</v>
      </c>
      <c r="E107" s="145">
        <v>105.1</v>
      </c>
      <c r="F107" s="145">
        <f t="shared" si="18"/>
        <v>1939.1</v>
      </c>
      <c r="G107" s="146">
        <f t="shared" si="30"/>
        <v>194.49</v>
      </c>
      <c r="H107" s="147">
        <v>0</v>
      </c>
      <c r="I107" s="219">
        <f t="shared" si="26"/>
        <v>194.49</v>
      </c>
      <c r="J107" s="215">
        <f t="shared" si="31"/>
        <v>193.91</v>
      </c>
      <c r="K107" s="229">
        <f t="shared" si="29"/>
        <v>1550.7</v>
      </c>
      <c r="L107" s="103"/>
      <c r="M107" s="99"/>
      <c r="N107" s="149">
        <f t="shared" si="37"/>
        <v>1939.1</v>
      </c>
      <c r="O107" s="101">
        <v>41453</v>
      </c>
      <c r="P107" s="102">
        <v>41454</v>
      </c>
      <c r="Q107" s="103"/>
      <c r="R107" s="104"/>
      <c r="S107" s="104"/>
      <c r="T107" s="105">
        <f t="shared" si="38"/>
        <v>1550.7</v>
      </c>
      <c r="U107" s="109">
        <f t="shared" si="36"/>
        <v>96.96</v>
      </c>
      <c r="V107" s="104">
        <v>96.95</v>
      </c>
      <c r="W107" s="106"/>
      <c r="X107" s="106"/>
      <c r="Y107" s="106"/>
      <c r="Z107" s="107"/>
      <c r="AA107" s="136">
        <f t="shared" si="32"/>
        <v>193.91</v>
      </c>
      <c r="AB107" s="196">
        <f t="shared" si="23"/>
        <v>193.91</v>
      </c>
      <c r="AC107" s="185">
        <f t="shared" si="24"/>
        <v>0</v>
      </c>
      <c r="AD107" s="185">
        <f t="shared" si="25"/>
        <v>0</v>
      </c>
    </row>
    <row r="108" spans="1:30" ht="31.5" x14ac:dyDescent="0.25">
      <c r="A108" s="48" t="s">
        <v>165</v>
      </c>
      <c r="B108" s="49" t="s">
        <v>114</v>
      </c>
      <c r="C108" s="144" t="s">
        <v>290</v>
      </c>
      <c r="D108" s="163">
        <v>18.45</v>
      </c>
      <c r="E108" s="145">
        <v>68.680000000000007</v>
      </c>
      <c r="F108" s="145">
        <f t="shared" si="18"/>
        <v>1267.1500000000001</v>
      </c>
      <c r="G108" s="146">
        <f t="shared" si="30"/>
        <v>127.09</v>
      </c>
      <c r="H108" s="147">
        <v>0</v>
      </c>
      <c r="I108" s="219">
        <f t="shared" si="26"/>
        <v>127.09</v>
      </c>
      <c r="J108" s="215">
        <f t="shared" si="31"/>
        <v>126.72</v>
      </c>
      <c r="K108" s="229">
        <f t="shared" si="29"/>
        <v>1013.34</v>
      </c>
      <c r="L108" s="103"/>
      <c r="M108" s="99"/>
      <c r="N108" s="149">
        <f t="shared" si="37"/>
        <v>1267.1500000000001</v>
      </c>
      <c r="O108" s="101">
        <v>41454</v>
      </c>
      <c r="P108" s="102">
        <v>41455</v>
      </c>
      <c r="Q108" s="103"/>
      <c r="R108" s="104"/>
      <c r="S108" s="104"/>
      <c r="T108" s="105">
        <f t="shared" si="38"/>
        <v>1013.34</v>
      </c>
      <c r="U108" s="109">
        <f t="shared" si="36"/>
        <v>63.36</v>
      </c>
      <c r="V108" s="104">
        <v>63.36</v>
      </c>
      <c r="W108" s="106"/>
      <c r="X108" s="106"/>
      <c r="Y108" s="106"/>
      <c r="Z108" s="107"/>
      <c r="AA108" s="136">
        <f t="shared" si="32"/>
        <v>126.72</v>
      </c>
      <c r="AB108" s="196">
        <f t="shared" si="23"/>
        <v>126.72</v>
      </c>
      <c r="AC108" s="185">
        <f t="shared" si="24"/>
        <v>0</v>
      </c>
      <c r="AD108" s="185">
        <f t="shared" si="25"/>
        <v>0</v>
      </c>
    </row>
    <row r="109" spans="1:30" ht="31.5" x14ac:dyDescent="0.25">
      <c r="A109" s="48" t="s">
        <v>166</v>
      </c>
      <c r="B109" s="49" t="s">
        <v>116</v>
      </c>
      <c r="C109" s="144" t="s">
        <v>290</v>
      </c>
      <c r="D109" s="163">
        <v>18.45</v>
      </c>
      <c r="E109" s="145">
        <v>1162.1199999999999</v>
      </c>
      <c r="F109" s="145">
        <f t="shared" si="18"/>
        <v>21441.11</v>
      </c>
      <c r="G109" s="146">
        <f t="shared" si="30"/>
        <v>2150.52</v>
      </c>
      <c r="H109" s="147">
        <v>0</v>
      </c>
      <c r="I109" s="219">
        <f t="shared" si="26"/>
        <v>2150.52</v>
      </c>
      <c r="J109" s="215">
        <f t="shared" si="31"/>
        <v>2144.11</v>
      </c>
      <c r="K109" s="229">
        <f t="shared" si="29"/>
        <v>17146.48</v>
      </c>
      <c r="L109" s="103"/>
      <c r="M109" s="99"/>
      <c r="N109" s="149">
        <f t="shared" si="37"/>
        <v>21441.11</v>
      </c>
      <c r="O109" s="101">
        <v>41455</v>
      </c>
      <c r="P109" s="102">
        <v>41459</v>
      </c>
      <c r="Q109" s="103"/>
      <c r="R109" s="104"/>
      <c r="S109" s="104"/>
      <c r="T109" s="105">
        <f t="shared" si="38"/>
        <v>17146.48</v>
      </c>
      <c r="U109" s="109">
        <f t="shared" si="36"/>
        <v>1072.06</v>
      </c>
      <c r="V109" s="104">
        <v>1072.05</v>
      </c>
      <c r="W109" s="106"/>
      <c r="X109" s="106"/>
      <c r="Y109" s="106"/>
      <c r="Z109" s="107"/>
      <c r="AA109" s="136">
        <f t="shared" si="32"/>
        <v>2144.11</v>
      </c>
      <c r="AB109" s="196">
        <f t="shared" si="23"/>
        <v>2144.11</v>
      </c>
      <c r="AC109" s="185">
        <f t="shared" si="24"/>
        <v>0</v>
      </c>
      <c r="AD109" s="185">
        <f t="shared" si="25"/>
        <v>0</v>
      </c>
    </row>
    <row r="110" spans="1:30" ht="31.5" x14ac:dyDescent="0.25">
      <c r="A110" s="48" t="s">
        <v>167</v>
      </c>
      <c r="B110" s="49" t="s">
        <v>118</v>
      </c>
      <c r="C110" s="144" t="s">
        <v>290</v>
      </c>
      <c r="D110" s="182">
        <v>12.6</v>
      </c>
      <c r="E110" s="145">
        <v>1160.32</v>
      </c>
      <c r="F110" s="145">
        <f t="shared" si="18"/>
        <v>14620.03</v>
      </c>
      <c r="G110" s="146">
        <f t="shared" si="30"/>
        <v>1466.37</v>
      </c>
      <c r="H110" s="147">
        <v>0</v>
      </c>
      <c r="I110" s="219">
        <f t="shared" si="26"/>
        <v>1466.37</v>
      </c>
      <c r="J110" s="215">
        <f t="shared" si="31"/>
        <v>1462</v>
      </c>
      <c r="K110" s="229">
        <f t="shared" si="29"/>
        <v>11691.66</v>
      </c>
      <c r="L110" s="103"/>
      <c r="M110" s="99"/>
      <c r="N110" s="149">
        <f t="shared" si="37"/>
        <v>14620.03</v>
      </c>
      <c r="O110" s="101">
        <v>41438</v>
      </c>
      <c r="P110" s="102">
        <v>41439</v>
      </c>
      <c r="Q110" s="103"/>
      <c r="R110" s="104"/>
      <c r="S110" s="104"/>
      <c r="T110" s="105">
        <f t="shared" si="38"/>
        <v>11691.66</v>
      </c>
      <c r="U110" s="109">
        <f t="shared" si="36"/>
        <v>731</v>
      </c>
      <c r="V110" s="104">
        <v>731</v>
      </c>
      <c r="W110" s="106"/>
      <c r="X110" s="106"/>
      <c r="Y110" s="106"/>
      <c r="Z110" s="107"/>
      <c r="AA110" s="136">
        <f t="shared" si="32"/>
        <v>1462</v>
      </c>
      <c r="AB110" s="196">
        <f t="shared" si="23"/>
        <v>1462</v>
      </c>
      <c r="AC110" s="185">
        <f t="shared" si="24"/>
        <v>0</v>
      </c>
      <c r="AD110" s="185">
        <f t="shared" si="25"/>
        <v>0</v>
      </c>
    </row>
    <row r="111" spans="1:30" ht="31.5" x14ac:dyDescent="0.25">
      <c r="A111" s="48" t="s">
        <v>168</v>
      </c>
      <c r="B111" s="49" t="s">
        <v>109</v>
      </c>
      <c r="C111" s="144" t="s">
        <v>290</v>
      </c>
      <c r="D111" s="182">
        <v>12.6</v>
      </c>
      <c r="E111" s="145">
        <v>79.31</v>
      </c>
      <c r="F111" s="145">
        <f t="shared" si="18"/>
        <v>999.31</v>
      </c>
      <c r="G111" s="146">
        <f t="shared" si="30"/>
        <v>100.23</v>
      </c>
      <c r="H111" s="147">
        <v>0</v>
      </c>
      <c r="I111" s="219">
        <f t="shared" si="26"/>
        <v>100.23</v>
      </c>
      <c r="J111" s="215">
        <f t="shared" si="31"/>
        <v>99.93</v>
      </c>
      <c r="K111" s="229">
        <f t="shared" si="29"/>
        <v>799.15</v>
      </c>
      <c r="L111" s="103"/>
      <c r="M111" s="99"/>
      <c r="N111" s="149">
        <f t="shared" si="37"/>
        <v>999.31</v>
      </c>
      <c r="O111" s="101">
        <v>41439</v>
      </c>
      <c r="P111" s="102">
        <v>41440</v>
      </c>
      <c r="Q111" s="103"/>
      <c r="R111" s="104"/>
      <c r="S111" s="104"/>
      <c r="T111" s="105">
        <f t="shared" si="38"/>
        <v>799.15</v>
      </c>
      <c r="U111" s="109">
        <f t="shared" si="36"/>
        <v>49.97</v>
      </c>
      <c r="V111" s="104">
        <v>49.96</v>
      </c>
      <c r="W111" s="106"/>
      <c r="X111" s="106"/>
      <c r="Y111" s="106"/>
      <c r="Z111" s="107"/>
      <c r="AA111" s="136">
        <f t="shared" si="32"/>
        <v>99.93</v>
      </c>
      <c r="AB111" s="196">
        <f t="shared" si="23"/>
        <v>99.93</v>
      </c>
      <c r="AC111" s="185">
        <f t="shared" si="24"/>
        <v>0</v>
      </c>
      <c r="AD111" s="185">
        <f t="shared" si="25"/>
        <v>0</v>
      </c>
    </row>
    <row r="112" spans="1:30" ht="31.5" x14ac:dyDescent="0.25">
      <c r="A112" s="48" t="s">
        <v>169</v>
      </c>
      <c r="B112" s="49" t="s">
        <v>122</v>
      </c>
      <c r="C112" s="144" t="s">
        <v>290</v>
      </c>
      <c r="D112" s="182">
        <v>12.6</v>
      </c>
      <c r="E112" s="145">
        <v>469.55</v>
      </c>
      <c r="F112" s="145">
        <f t="shared" si="18"/>
        <v>5916.33</v>
      </c>
      <c r="G112" s="146">
        <f t="shared" si="30"/>
        <v>593.4</v>
      </c>
      <c r="H112" s="147">
        <v>0</v>
      </c>
      <c r="I112" s="219">
        <f t="shared" si="26"/>
        <v>593.4</v>
      </c>
      <c r="J112" s="215">
        <f t="shared" si="31"/>
        <v>591.63</v>
      </c>
      <c r="K112" s="229">
        <f t="shared" si="29"/>
        <v>4731.3</v>
      </c>
      <c r="L112" s="103"/>
      <c r="M112" s="99"/>
      <c r="N112" s="149">
        <f t="shared" si="37"/>
        <v>5916.33</v>
      </c>
      <c r="O112" s="101">
        <v>41441</v>
      </c>
      <c r="P112" s="102">
        <v>41443</v>
      </c>
      <c r="Q112" s="103"/>
      <c r="R112" s="104"/>
      <c r="S112" s="104"/>
      <c r="T112" s="105">
        <f t="shared" si="38"/>
        <v>4731.3</v>
      </c>
      <c r="U112" s="109">
        <f t="shared" si="36"/>
        <v>295.82</v>
      </c>
      <c r="V112" s="104">
        <v>295.81</v>
      </c>
      <c r="W112" s="106"/>
      <c r="X112" s="106"/>
      <c r="Y112" s="106"/>
      <c r="Z112" s="107"/>
      <c r="AA112" s="136">
        <f t="shared" si="32"/>
        <v>591.63</v>
      </c>
      <c r="AB112" s="196">
        <f t="shared" ref="AB112:AB143" si="39">F112-I112-K112</f>
        <v>591.63</v>
      </c>
      <c r="AC112" s="185">
        <f t="shared" ref="AC112:AC143" si="40">J112-AA112</f>
        <v>0</v>
      </c>
      <c r="AD112" s="185">
        <f t="shared" ref="AD112:AD143" si="41">J112-AA112</f>
        <v>0</v>
      </c>
    </row>
    <row r="113" spans="1:30" ht="63" x14ac:dyDescent="0.25">
      <c r="A113" s="48" t="s">
        <v>170</v>
      </c>
      <c r="B113" s="49" t="s">
        <v>124</v>
      </c>
      <c r="C113" s="144" t="s">
        <v>288</v>
      </c>
      <c r="D113" s="181">
        <v>11.35</v>
      </c>
      <c r="E113" s="145">
        <v>8134.97</v>
      </c>
      <c r="F113" s="145">
        <f t="shared" si="18"/>
        <v>92331.91</v>
      </c>
      <c r="G113" s="146">
        <f t="shared" si="30"/>
        <v>9260.7800000000007</v>
      </c>
      <c r="H113" s="147">
        <v>0</v>
      </c>
      <c r="I113" s="219">
        <f t="shared" si="26"/>
        <v>9260.7800000000007</v>
      </c>
      <c r="J113" s="215">
        <f t="shared" si="31"/>
        <v>9233.19</v>
      </c>
      <c r="K113" s="229">
        <f t="shared" si="29"/>
        <v>73837.94</v>
      </c>
      <c r="L113" s="103"/>
      <c r="M113" s="99"/>
      <c r="N113" s="149">
        <f t="shared" si="37"/>
        <v>92331.91</v>
      </c>
      <c r="O113" s="101">
        <v>41445</v>
      </c>
      <c r="P113" s="102">
        <v>41449</v>
      </c>
      <c r="Q113" s="103"/>
      <c r="R113" s="104"/>
      <c r="S113" s="104"/>
      <c r="T113" s="105">
        <f t="shared" si="38"/>
        <v>73837.94</v>
      </c>
      <c r="U113" s="109">
        <f t="shared" si="36"/>
        <v>4616.6000000000004</v>
      </c>
      <c r="V113" s="104">
        <v>4616.59</v>
      </c>
      <c r="W113" s="106"/>
      <c r="X113" s="106"/>
      <c r="Y113" s="106"/>
      <c r="Z113" s="107"/>
      <c r="AA113" s="136">
        <f t="shared" si="32"/>
        <v>9233.19</v>
      </c>
      <c r="AB113" s="196">
        <f t="shared" si="39"/>
        <v>9233.19</v>
      </c>
      <c r="AC113" s="185">
        <f t="shared" si="40"/>
        <v>0</v>
      </c>
      <c r="AD113" s="185">
        <f t="shared" si="41"/>
        <v>0</v>
      </c>
    </row>
    <row r="114" spans="1:30" s="80" customFormat="1" x14ac:dyDescent="0.25">
      <c r="A114" s="46" t="s">
        <v>171</v>
      </c>
      <c r="B114" s="47" t="s">
        <v>172</v>
      </c>
      <c r="C114" s="24"/>
      <c r="D114" s="162"/>
      <c r="E114" s="25"/>
      <c r="F114" s="25"/>
      <c r="G114" s="26">
        <f t="shared" si="30"/>
        <v>0</v>
      </c>
      <c r="H114" s="27">
        <v>0</v>
      </c>
      <c r="I114" s="220"/>
      <c r="J114" s="229">
        <f t="shared" si="31"/>
        <v>0</v>
      </c>
      <c r="K114" s="229">
        <f t="shared" ref="K114:K145" si="42">F114-I114-J114</f>
        <v>0</v>
      </c>
      <c r="L114" s="93"/>
      <c r="M114" s="90"/>
      <c r="N114" s="98"/>
      <c r="O114" s="91"/>
      <c r="P114" s="92"/>
      <c r="Q114" s="93"/>
      <c r="R114" s="29"/>
      <c r="S114" s="29"/>
      <c r="T114" s="94"/>
      <c r="U114" s="109"/>
      <c r="V114" s="104"/>
      <c r="W114" s="106"/>
      <c r="X114" s="106"/>
      <c r="Y114" s="106"/>
      <c r="Z114" s="107"/>
      <c r="AA114" s="136"/>
      <c r="AB114" s="196">
        <f t="shared" si="39"/>
        <v>0</v>
      </c>
      <c r="AC114" s="185">
        <f t="shared" si="40"/>
        <v>0</v>
      </c>
      <c r="AD114" s="185">
        <f t="shared" si="41"/>
        <v>0</v>
      </c>
    </row>
    <row r="115" spans="1:30" ht="31.5" x14ac:dyDescent="0.25">
      <c r="A115" s="48" t="s">
        <v>173</v>
      </c>
      <c r="B115" s="49" t="s">
        <v>105</v>
      </c>
      <c r="C115" s="144" t="s">
        <v>288</v>
      </c>
      <c r="D115" s="181">
        <v>4.24</v>
      </c>
      <c r="E115" s="145">
        <v>1804.86</v>
      </c>
      <c r="F115" s="145">
        <f t="shared" si="18"/>
        <v>7652.61</v>
      </c>
      <c r="G115" s="146">
        <f t="shared" ref="G115:G146" si="43">F115*$AE$6</f>
        <v>767.55</v>
      </c>
      <c r="H115" s="147">
        <v>0</v>
      </c>
      <c r="I115" s="219">
        <f t="shared" si="26"/>
        <v>767.55</v>
      </c>
      <c r="J115" s="215">
        <f t="shared" si="31"/>
        <v>765.26</v>
      </c>
      <c r="K115" s="229">
        <f t="shared" si="42"/>
        <v>6119.8</v>
      </c>
      <c r="L115" s="103"/>
      <c r="M115" s="150">
        <f>F115</f>
        <v>7652.61</v>
      </c>
      <c r="N115" s="100"/>
      <c r="O115" s="101">
        <v>41435</v>
      </c>
      <c r="P115" s="102">
        <v>41436</v>
      </c>
      <c r="Q115" s="103"/>
      <c r="R115" s="104"/>
      <c r="S115" s="104">
        <f>K115</f>
        <v>6119.8</v>
      </c>
      <c r="T115" s="105"/>
      <c r="U115" s="109">
        <f t="shared" ref="U115:U125" si="44">J115*0.5</f>
        <v>382.63</v>
      </c>
      <c r="V115" s="104">
        <v>382.63</v>
      </c>
      <c r="W115" s="106"/>
      <c r="X115" s="106"/>
      <c r="Y115" s="106"/>
      <c r="Z115" s="107"/>
      <c r="AA115" s="136">
        <f t="shared" si="32"/>
        <v>765.26</v>
      </c>
      <c r="AB115" s="196">
        <f t="shared" si="39"/>
        <v>765.26</v>
      </c>
      <c r="AC115" s="185">
        <f t="shared" si="40"/>
        <v>0</v>
      </c>
      <c r="AD115" s="185">
        <f t="shared" si="41"/>
        <v>0</v>
      </c>
    </row>
    <row r="116" spans="1:30" ht="31.5" x14ac:dyDescent="0.25">
      <c r="A116" s="48" t="s">
        <v>174</v>
      </c>
      <c r="B116" s="49" t="s">
        <v>107</v>
      </c>
      <c r="C116" s="144" t="s">
        <v>288</v>
      </c>
      <c r="D116" s="181">
        <v>4.24</v>
      </c>
      <c r="E116" s="145">
        <v>4309.76</v>
      </c>
      <c r="F116" s="145">
        <f t="shared" si="18"/>
        <v>18273.38</v>
      </c>
      <c r="G116" s="146">
        <f t="shared" si="43"/>
        <v>1832.8</v>
      </c>
      <c r="H116" s="147">
        <v>0</v>
      </c>
      <c r="I116" s="219">
        <f t="shared" si="26"/>
        <v>1832.8</v>
      </c>
      <c r="J116" s="215">
        <f t="shared" si="31"/>
        <v>1827.34</v>
      </c>
      <c r="K116" s="229">
        <f t="shared" si="42"/>
        <v>14613.24</v>
      </c>
      <c r="L116" s="103"/>
      <c r="M116" s="150">
        <f>F116</f>
        <v>18273.38</v>
      </c>
      <c r="N116" s="100"/>
      <c r="O116" s="101">
        <v>41436</v>
      </c>
      <c r="P116" s="102">
        <v>41437</v>
      </c>
      <c r="Q116" s="103"/>
      <c r="R116" s="104"/>
      <c r="S116" s="104">
        <f>K116</f>
        <v>14613.24</v>
      </c>
      <c r="T116" s="105"/>
      <c r="U116" s="109">
        <f t="shared" si="44"/>
        <v>913.67</v>
      </c>
      <c r="V116" s="104">
        <v>913.67</v>
      </c>
      <c r="W116" s="106"/>
      <c r="X116" s="106"/>
      <c r="Y116" s="106"/>
      <c r="Z116" s="107"/>
      <c r="AA116" s="136">
        <f t="shared" si="32"/>
        <v>1827.34</v>
      </c>
      <c r="AB116" s="196">
        <f t="shared" si="39"/>
        <v>1827.34</v>
      </c>
      <c r="AC116" s="185">
        <f t="shared" si="40"/>
        <v>0</v>
      </c>
      <c r="AD116" s="185">
        <f t="shared" si="41"/>
        <v>0</v>
      </c>
    </row>
    <row r="117" spans="1:30" ht="31.5" x14ac:dyDescent="0.25">
      <c r="A117" s="48" t="s">
        <v>175</v>
      </c>
      <c r="B117" s="49" t="s">
        <v>109</v>
      </c>
      <c r="C117" s="144" t="s">
        <v>290</v>
      </c>
      <c r="D117" s="163">
        <v>59.4</v>
      </c>
      <c r="E117" s="145">
        <v>105.1</v>
      </c>
      <c r="F117" s="145">
        <f t="shared" si="18"/>
        <v>6242.94</v>
      </c>
      <c r="G117" s="146">
        <f t="shared" si="43"/>
        <v>626.16</v>
      </c>
      <c r="H117" s="147">
        <v>0</v>
      </c>
      <c r="I117" s="219">
        <f t="shared" si="26"/>
        <v>626.16</v>
      </c>
      <c r="J117" s="215">
        <f t="shared" si="31"/>
        <v>624.29</v>
      </c>
      <c r="K117" s="229">
        <f t="shared" si="42"/>
        <v>4992.49</v>
      </c>
      <c r="L117" s="103"/>
      <c r="M117" s="99"/>
      <c r="N117" s="149">
        <f t="shared" ref="N117:N125" si="45">F117</f>
        <v>6242.94</v>
      </c>
      <c r="O117" s="101">
        <v>41451</v>
      </c>
      <c r="P117" s="102">
        <v>41452</v>
      </c>
      <c r="Q117" s="103"/>
      <c r="R117" s="104"/>
      <c r="S117" s="104"/>
      <c r="T117" s="105">
        <f t="shared" ref="T117:T125" si="46">K117</f>
        <v>4992.49</v>
      </c>
      <c r="U117" s="109">
        <f t="shared" si="44"/>
        <v>312.14999999999998</v>
      </c>
      <c r="V117" s="104">
        <v>312.14</v>
      </c>
      <c r="W117" s="106"/>
      <c r="X117" s="106"/>
      <c r="Y117" s="106"/>
      <c r="Z117" s="107"/>
      <c r="AA117" s="136">
        <f t="shared" si="32"/>
        <v>624.29</v>
      </c>
      <c r="AB117" s="196">
        <f t="shared" si="39"/>
        <v>624.29</v>
      </c>
      <c r="AC117" s="185">
        <f t="shared" si="40"/>
        <v>0</v>
      </c>
      <c r="AD117" s="185">
        <f t="shared" si="41"/>
        <v>0</v>
      </c>
    </row>
    <row r="118" spans="1:30" ht="31.5" x14ac:dyDescent="0.25">
      <c r="A118" s="48" t="s">
        <v>176</v>
      </c>
      <c r="B118" s="49" t="s">
        <v>111</v>
      </c>
      <c r="C118" s="144" t="s">
        <v>290</v>
      </c>
      <c r="D118" s="163">
        <v>59.4</v>
      </c>
      <c r="E118" s="145">
        <v>1436.37</v>
      </c>
      <c r="F118" s="145">
        <f t="shared" si="18"/>
        <v>85320.38</v>
      </c>
      <c r="G118" s="146">
        <f t="shared" si="43"/>
        <v>8557.5300000000007</v>
      </c>
      <c r="H118" s="147">
        <v>0</v>
      </c>
      <c r="I118" s="219">
        <f t="shared" si="26"/>
        <v>8557.5300000000007</v>
      </c>
      <c r="J118" s="215">
        <f t="shared" si="31"/>
        <v>8532.0400000000009</v>
      </c>
      <c r="K118" s="229">
        <f t="shared" si="42"/>
        <v>68230.81</v>
      </c>
      <c r="L118" s="103"/>
      <c r="M118" s="99"/>
      <c r="N118" s="149">
        <f t="shared" si="45"/>
        <v>85320.38</v>
      </c>
      <c r="O118" s="101">
        <v>41452</v>
      </c>
      <c r="P118" s="102">
        <v>41453</v>
      </c>
      <c r="Q118" s="103"/>
      <c r="R118" s="104"/>
      <c r="S118" s="104"/>
      <c r="T118" s="105">
        <f t="shared" si="46"/>
        <v>68230.81</v>
      </c>
      <c r="U118" s="109">
        <f t="shared" si="44"/>
        <v>4266.0200000000004</v>
      </c>
      <c r="V118" s="104">
        <v>4266.0200000000004</v>
      </c>
      <c r="W118" s="106"/>
      <c r="X118" s="106"/>
      <c r="Y118" s="106"/>
      <c r="Z118" s="107"/>
      <c r="AA118" s="136">
        <f t="shared" si="32"/>
        <v>8532.0400000000009</v>
      </c>
      <c r="AB118" s="196">
        <f t="shared" si="39"/>
        <v>8532.0400000000009</v>
      </c>
      <c r="AC118" s="185">
        <f t="shared" si="40"/>
        <v>0</v>
      </c>
      <c r="AD118" s="185">
        <f t="shared" si="41"/>
        <v>0</v>
      </c>
    </row>
    <row r="119" spans="1:30" ht="31.5" x14ac:dyDescent="0.25">
      <c r="A119" s="48" t="s">
        <v>177</v>
      </c>
      <c r="B119" s="49" t="s">
        <v>109</v>
      </c>
      <c r="C119" s="144" t="s">
        <v>290</v>
      </c>
      <c r="D119" s="163">
        <v>59.4</v>
      </c>
      <c r="E119" s="145">
        <v>105.1</v>
      </c>
      <c r="F119" s="145">
        <f t="shared" ref="F119:F182" si="47">ROUND(D119*E119,2)</f>
        <v>6242.94</v>
      </c>
      <c r="G119" s="146">
        <f t="shared" si="43"/>
        <v>626.16</v>
      </c>
      <c r="H119" s="147">
        <v>0</v>
      </c>
      <c r="I119" s="219">
        <f t="shared" si="26"/>
        <v>626.16</v>
      </c>
      <c r="J119" s="215">
        <f t="shared" si="31"/>
        <v>624.29</v>
      </c>
      <c r="K119" s="229">
        <f t="shared" si="42"/>
        <v>4992.49</v>
      </c>
      <c r="L119" s="103"/>
      <c r="M119" s="99"/>
      <c r="N119" s="149">
        <f t="shared" si="45"/>
        <v>6242.94</v>
      </c>
      <c r="O119" s="101">
        <v>41453</v>
      </c>
      <c r="P119" s="102">
        <v>41454</v>
      </c>
      <c r="Q119" s="103"/>
      <c r="R119" s="104"/>
      <c r="S119" s="104"/>
      <c r="T119" s="105">
        <f t="shared" si="46"/>
        <v>4992.49</v>
      </c>
      <c r="U119" s="109">
        <f t="shared" si="44"/>
        <v>312.14999999999998</v>
      </c>
      <c r="V119" s="104">
        <v>312.14</v>
      </c>
      <c r="W119" s="106"/>
      <c r="X119" s="106"/>
      <c r="Y119" s="106"/>
      <c r="Z119" s="107"/>
      <c r="AA119" s="136">
        <f t="shared" si="32"/>
        <v>624.29</v>
      </c>
      <c r="AB119" s="196">
        <f t="shared" si="39"/>
        <v>624.29</v>
      </c>
      <c r="AC119" s="185">
        <f t="shared" si="40"/>
        <v>0</v>
      </c>
      <c r="AD119" s="185">
        <f t="shared" si="41"/>
        <v>0</v>
      </c>
    </row>
    <row r="120" spans="1:30" ht="31.5" x14ac:dyDescent="0.25">
      <c r="A120" s="48" t="s">
        <v>178</v>
      </c>
      <c r="B120" s="49" t="s">
        <v>114</v>
      </c>
      <c r="C120" s="144" t="s">
        <v>290</v>
      </c>
      <c r="D120" s="163">
        <v>59.4</v>
      </c>
      <c r="E120" s="145">
        <v>68.680000000000007</v>
      </c>
      <c r="F120" s="145">
        <f t="shared" si="47"/>
        <v>4079.59</v>
      </c>
      <c r="G120" s="146">
        <f t="shared" si="43"/>
        <v>409.18</v>
      </c>
      <c r="H120" s="147">
        <v>0</v>
      </c>
      <c r="I120" s="219">
        <f t="shared" si="26"/>
        <v>409.18</v>
      </c>
      <c r="J120" s="215">
        <f t="shared" si="31"/>
        <v>407.96</v>
      </c>
      <c r="K120" s="229">
        <f t="shared" si="42"/>
        <v>3262.45</v>
      </c>
      <c r="L120" s="103"/>
      <c r="M120" s="99"/>
      <c r="N120" s="149">
        <f t="shared" si="45"/>
        <v>4079.59</v>
      </c>
      <c r="O120" s="101">
        <v>41454</v>
      </c>
      <c r="P120" s="102">
        <v>41455</v>
      </c>
      <c r="Q120" s="103"/>
      <c r="R120" s="104"/>
      <c r="S120" s="104"/>
      <c r="T120" s="105">
        <f t="shared" si="46"/>
        <v>3262.45</v>
      </c>
      <c r="U120" s="109">
        <f t="shared" si="44"/>
        <v>203.98</v>
      </c>
      <c r="V120" s="104">
        <v>203.98</v>
      </c>
      <c r="W120" s="106"/>
      <c r="X120" s="106"/>
      <c r="Y120" s="106"/>
      <c r="Z120" s="107"/>
      <c r="AA120" s="136">
        <f t="shared" si="32"/>
        <v>407.96</v>
      </c>
      <c r="AB120" s="196">
        <f t="shared" si="39"/>
        <v>407.96</v>
      </c>
      <c r="AC120" s="185">
        <f t="shared" si="40"/>
        <v>0</v>
      </c>
      <c r="AD120" s="185">
        <f t="shared" si="41"/>
        <v>0</v>
      </c>
    </row>
    <row r="121" spans="1:30" ht="31.5" x14ac:dyDescent="0.25">
      <c r="A121" s="48" t="s">
        <v>179</v>
      </c>
      <c r="B121" s="49" t="s">
        <v>116</v>
      </c>
      <c r="C121" s="144" t="s">
        <v>290</v>
      </c>
      <c r="D121" s="163">
        <v>59.4</v>
      </c>
      <c r="E121" s="145">
        <v>1162.1199999999999</v>
      </c>
      <c r="F121" s="145">
        <f t="shared" si="47"/>
        <v>69029.929999999993</v>
      </c>
      <c r="G121" s="146">
        <f t="shared" si="43"/>
        <v>6923.62</v>
      </c>
      <c r="H121" s="147">
        <v>0</v>
      </c>
      <c r="I121" s="219">
        <f t="shared" si="26"/>
        <v>6923.62</v>
      </c>
      <c r="J121" s="215">
        <f t="shared" si="31"/>
        <v>6902.99</v>
      </c>
      <c r="K121" s="229">
        <f t="shared" si="42"/>
        <v>55203.32</v>
      </c>
      <c r="L121" s="103"/>
      <c r="M121" s="99"/>
      <c r="N121" s="149">
        <f t="shared" si="45"/>
        <v>69029.929999999993</v>
      </c>
      <c r="O121" s="101">
        <v>41455</v>
      </c>
      <c r="P121" s="102">
        <v>41460</v>
      </c>
      <c r="Q121" s="103"/>
      <c r="R121" s="104"/>
      <c r="S121" s="104"/>
      <c r="T121" s="105">
        <f t="shared" si="46"/>
        <v>55203.32</v>
      </c>
      <c r="U121" s="109">
        <f t="shared" si="44"/>
        <v>3451.5</v>
      </c>
      <c r="V121" s="104">
        <v>3451.49</v>
      </c>
      <c r="W121" s="106"/>
      <c r="X121" s="106"/>
      <c r="Y121" s="106"/>
      <c r="Z121" s="107"/>
      <c r="AA121" s="136">
        <f t="shared" si="32"/>
        <v>6902.99</v>
      </c>
      <c r="AB121" s="196">
        <f t="shared" si="39"/>
        <v>6902.99</v>
      </c>
      <c r="AC121" s="185">
        <f t="shared" si="40"/>
        <v>0</v>
      </c>
      <c r="AD121" s="185">
        <f t="shared" si="41"/>
        <v>0</v>
      </c>
    </row>
    <row r="122" spans="1:30" ht="31.5" x14ac:dyDescent="0.25">
      <c r="A122" s="48" t="s">
        <v>180</v>
      </c>
      <c r="B122" s="49" t="s">
        <v>118</v>
      </c>
      <c r="C122" s="144" t="s">
        <v>290</v>
      </c>
      <c r="D122" s="181">
        <v>42.44</v>
      </c>
      <c r="E122" s="145">
        <v>1160.32</v>
      </c>
      <c r="F122" s="145">
        <f t="shared" si="47"/>
        <v>49243.98</v>
      </c>
      <c r="G122" s="146">
        <f t="shared" si="43"/>
        <v>4939.1099999999997</v>
      </c>
      <c r="H122" s="147">
        <v>0</v>
      </c>
      <c r="I122" s="219">
        <f t="shared" si="26"/>
        <v>4939.1099999999997</v>
      </c>
      <c r="J122" s="215">
        <f t="shared" si="31"/>
        <v>4924.3999999999996</v>
      </c>
      <c r="K122" s="229">
        <f t="shared" si="42"/>
        <v>39380.47</v>
      </c>
      <c r="L122" s="103"/>
      <c r="M122" s="99"/>
      <c r="N122" s="149">
        <f t="shared" si="45"/>
        <v>49243.98</v>
      </c>
      <c r="O122" s="101">
        <v>41438</v>
      </c>
      <c r="P122" s="102">
        <v>41440</v>
      </c>
      <c r="Q122" s="103"/>
      <c r="R122" s="104"/>
      <c r="S122" s="104"/>
      <c r="T122" s="105">
        <f t="shared" si="46"/>
        <v>39380.47</v>
      </c>
      <c r="U122" s="109">
        <f t="shared" si="44"/>
        <v>2462.1999999999998</v>
      </c>
      <c r="V122" s="104">
        <v>2462.1999999999998</v>
      </c>
      <c r="W122" s="106"/>
      <c r="X122" s="106"/>
      <c r="Y122" s="106"/>
      <c r="Z122" s="107"/>
      <c r="AA122" s="136">
        <f t="shared" si="32"/>
        <v>4924.3999999999996</v>
      </c>
      <c r="AB122" s="196">
        <f t="shared" si="39"/>
        <v>4924.3999999999996</v>
      </c>
      <c r="AC122" s="185">
        <f t="shared" si="40"/>
        <v>0</v>
      </c>
      <c r="AD122" s="185">
        <f t="shared" si="41"/>
        <v>0</v>
      </c>
    </row>
    <row r="123" spans="1:30" ht="31.5" x14ac:dyDescent="0.25">
      <c r="A123" s="48" t="s">
        <v>181</v>
      </c>
      <c r="B123" s="49" t="s">
        <v>109</v>
      </c>
      <c r="C123" s="144" t="s">
        <v>290</v>
      </c>
      <c r="D123" s="181">
        <v>42.44</v>
      </c>
      <c r="E123" s="145">
        <v>79.31</v>
      </c>
      <c r="F123" s="145">
        <f t="shared" si="47"/>
        <v>3365.92</v>
      </c>
      <c r="G123" s="146">
        <f t="shared" si="43"/>
        <v>337.6</v>
      </c>
      <c r="H123" s="147">
        <v>0</v>
      </c>
      <c r="I123" s="219">
        <f t="shared" si="26"/>
        <v>337.6</v>
      </c>
      <c r="J123" s="215">
        <f t="shared" si="31"/>
        <v>336.59</v>
      </c>
      <c r="K123" s="229">
        <f t="shared" si="42"/>
        <v>2691.73</v>
      </c>
      <c r="L123" s="103"/>
      <c r="M123" s="99"/>
      <c r="N123" s="149">
        <f t="shared" si="45"/>
        <v>3365.92</v>
      </c>
      <c r="O123" s="101">
        <v>41440</v>
      </c>
      <c r="P123" s="102">
        <v>41441</v>
      </c>
      <c r="Q123" s="103"/>
      <c r="R123" s="104"/>
      <c r="S123" s="104"/>
      <c r="T123" s="105">
        <f t="shared" si="46"/>
        <v>2691.73</v>
      </c>
      <c r="U123" s="109">
        <f t="shared" si="44"/>
        <v>168.3</v>
      </c>
      <c r="V123" s="104">
        <v>168.29</v>
      </c>
      <c r="W123" s="106"/>
      <c r="X123" s="106"/>
      <c r="Y123" s="106"/>
      <c r="Z123" s="107"/>
      <c r="AA123" s="136">
        <f t="shared" si="32"/>
        <v>336.59</v>
      </c>
      <c r="AB123" s="196">
        <f t="shared" si="39"/>
        <v>336.59</v>
      </c>
      <c r="AC123" s="185">
        <f t="shared" si="40"/>
        <v>0</v>
      </c>
      <c r="AD123" s="185">
        <f t="shared" si="41"/>
        <v>0</v>
      </c>
    </row>
    <row r="124" spans="1:30" ht="31.5" x14ac:dyDescent="0.25">
      <c r="A124" s="48" t="s">
        <v>182</v>
      </c>
      <c r="B124" s="49" t="s">
        <v>122</v>
      </c>
      <c r="C124" s="144" t="s">
        <v>290</v>
      </c>
      <c r="D124" s="181">
        <v>42.44</v>
      </c>
      <c r="E124" s="145">
        <v>469.55</v>
      </c>
      <c r="F124" s="145">
        <f t="shared" si="47"/>
        <v>19927.7</v>
      </c>
      <c r="G124" s="146">
        <f t="shared" si="43"/>
        <v>1998.73</v>
      </c>
      <c r="H124" s="147">
        <v>0</v>
      </c>
      <c r="I124" s="219">
        <f t="shared" si="26"/>
        <v>1998.73</v>
      </c>
      <c r="J124" s="215">
        <f t="shared" si="31"/>
        <v>1992.77</v>
      </c>
      <c r="K124" s="229">
        <f t="shared" si="42"/>
        <v>15936.2</v>
      </c>
      <c r="L124" s="103"/>
      <c r="M124" s="99"/>
      <c r="N124" s="149">
        <f t="shared" si="45"/>
        <v>19927.7</v>
      </c>
      <c r="O124" s="101">
        <v>41441</v>
      </c>
      <c r="P124" s="102">
        <v>41443</v>
      </c>
      <c r="Q124" s="103"/>
      <c r="R124" s="104"/>
      <c r="S124" s="104"/>
      <c r="T124" s="105">
        <f t="shared" si="46"/>
        <v>15936.2</v>
      </c>
      <c r="U124" s="109">
        <f t="shared" si="44"/>
        <v>996.39</v>
      </c>
      <c r="V124" s="104">
        <v>996.38</v>
      </c>
      <c r="W124" s="106"/>
      <c r="X124" s="106"/>
      <c r="Y124" s="106"/>
      <c r="Z124" s="107"/>
      <c r="AA124" s="136">
        <f t="shared" si="32"/>
        <v>1992.77</v>
      </c>
      <c r="AB124" s="196">
        <f t="shared" si="39"/>
        <v>1992.77</v>
      </c>
      <c r="AC124" s="185">
        <f t="shared" si="40"/>
        <v>0</v>
      </c>
      <c r="AD124" s="185">
        <f t="shared" si="41"/>
        <v>0</v>
      </c>
    </row>
    <row r="125" spans="1:30" ht="63" x14ac:dyDescent="0.25">
      <c r="A125" s="48" t="s">
        <v>183</v>
      </c>
      <c r="B125" s="49" t="s">
        <v>124</v>
      </c>
      <c r="C125" s="144" t="s">
        <v>288</v>
      </c>
      <c r="D125" s="181">
        <v>38.19</v>
      </c>
      <c r="E125" s="145">
        <v>8134.97</v>
      </c>
      <c r="F125" s="145">
        <f t="shared" si="47"/>
        <v>310674.5</v>
      </c>
      <c r="G125" s="146">
        <f t="shared" si="43"/>
        <v>31160.29</v>
      </c>
      <c r="H125" s="147">
        <v>0</v>
      </c>
      <c r="I125" s="219">
        <f t="shared" si="26"/>
        <v>31160.29</v>
      </c>
      <c r="J125" s="215">
        <f t="shared" si="31"/>
        <v>31067.45</v>
      </c>
      <c r="K125" s="229">
        <f t="shared" si="42"/>
        <v>248446.76</v>
      </c>
      <c r="L125" s="103"/>
      <c r="M125" s="99"/>
      <c r="N125" s="149">
        <f t="shared" si="45"/>
        <v>310674.5</v>
      </c>
      <c r="O125" s="101">
        <v>41445</v>
      </c>
      <c r="P125" s="102">
        <v>41450</v>
      </c>
      <c r="Q125" s="103"/>
      <c r="R125" s="104"/>
      <c r="S125" s="104"/>
      <c r="T125" s="105">
        <f t="shared" si="46"/>
        <v>248446.76</v>
      </c>
      <c r="U125" s="109">
        <f t="shared" si="44"/>
        <v>15533.73</v>
      </c>
      <c r="V125" s="104">
        <v>15533.72</v>
      </c>
      <c r="W125" s="106"/>
      <c r="X125" s="106"/>
      <c r="Y125" s="106"/>
      <c r="Z125" s="107"/>
      <c r="AA125" s="136">
        <f t="shared" si="32"/>
        <v>31067.45</v>
      </c>
      <c r="AB125" s="196">
        <f t="shared" si="39"/>
        <v>31067.45</v>
      </c>
      <c r="AC125" s="185">
        <f t="shared" si="40"/>
        <v>0</v>
      </c>
      <c r="AD125" s="185">
        <f t="shared" si="41"/>
        <v>0</v>
      </c>
    </row>
    <row r="126" spans="1:30" s="80" customFormat="1" x14ac:dyDescent="0.25">
      <c r="A126" s="46" t="s">
        <v>184</v>
      </c>
      <c r="B126" s="47" t="s">
        <v>185</v>
      </c>
      <c r="C126" s="24"/>
      <c r="D126" s="162"/>
      <c r="E126" s="25"/>
      <c r="F126" s="25"/>
      <c r="G126" s="26">
        <f t="shared" si="43"/>
        <v>0</v>
      </c>
      <c r="H126" s="27"/>
      <c r="I126" s="220"/>
      <c r="J126" s="229">
        <f t="shared" si="31"/>
        <v>0</v>
      </c>
      <c r="K126" s="229">
        <f t="shared" si="42"/>
        <v>0</v>
      </c>
      <c r="L126" s="93"/>
      <c r="M126" s="90"/>
      <c r="N126" s="98"/>
      <c r="O126" s="91"/>
      <c r="P126" s="92"/>
      <c r="Q126" s="93"/>
      <c r="R126" s="29"/>
      <c r="S126" s="29"/>
      <c r="T126" s="94"/>
      <c r="U126" s="109"/>
      <c r="V126" s="104"/>
      <c r="W126" s="106"/>
      <c r="X126" s="106"/>
      <c r="Y126" s="106"/>
      <c r="Z126" s="107"/>
      <c r="AA126" s="136"/>
      <c r="AB126" s="196">
        <f t="shared" si="39"/>
        <v>0</v>
      </c>
      <c r="AC126" s="185">
        <f t="shared" si="40"/>
        <v>0</v>
      </c>
      <c r="AD126" s="185">
        <f t="shared" si="41"/>
        <v>0</v>
      </c>
    </row>
    <row r="127" spans="1:30" ht="31.5" x14ac:dyDescent="0.25">
      <c r="A127" s="48" t="s">
        <v>186</v>
      </c>
      <c r="B127" s="49" t="s">
        <v>105</v>
      </c>
      <c r="C127" s="144" t="s">
        <v>288</v>
      </c>
      <c r="D127" s="181">
        <v>6.04</v>
      </c>
      <c r="E127" s="145">
        <v>1804.86</v>
      </c>
      <c r="F127" s="145">
        <f t="shared" si="47"/>
        <v>10901.35</v>
      </c>
      <c r="G127" s="146">
        <f t="shared" si="43"/>
        <v>1093.3900000000001</v>
      </c>
      <c r="H127" s="147">
        <v>0</v>
      </c>
      <c r="I127" s="219">
        <f t="shared" si="26"/>
        <v>1093.3900000000001</v>
      </c>
      <c r="J127" s="215">
        <f t="shared" si="31"/>
        <v>1090.1400000000001</v>
      </c>
      <c r="K127" s="229">
        <f t="shared" si="42"/>
        <v>8717.82</v>
      </c>
      <c r="L127" s="103"/>
      <c r="M127" s="150">
        <f>F127</f>
        <v>10901.35</v>
      </c>
      <c r="N127" s="100"/>
      <c r="O127" s="101">
        <v>41422</v>
      </c>
      <c r="P127" s="102">
        <v>41423</v>
      </c>
      <c r="Q127" s="103"/>
      <c r="R127" s="104"/>
      <c r="S127" s="104">
        <f>K127</f>
        <v>8717.82</v>
      </c>
      <c r="T127" s="105"/>
      <c r="U127" s="109">
        <f t="shared" ref="U127:U137" si="48">J127*0.5</f>
        <v>545.07000000000005</v>
      </c>
      <c r="V127" s="104">
        <v>545.07000000000005</v>
      </c>
      <c r="W127" s="106"/>
      <c r="X127" s="106"/>
      <c r="Y127" s="106"/>
      <c r="Z127" s="107"/>
      <c r="AA127" s="136">
        <f t="shared" si="32"/>
        <v>1090.1400000000001</v>
      </c>
      <c r="AB127" s="196">
        <f t="shared" si="39"/>
        <v>1090.1400000000001</v>
      </c>
      <c r="AC127" s="185">
        <f t="shared" si="40"/>
        <v>0</v>
      </c>
      <c r="AD127" s="185">
        <f t="shared" si="41"/>
        <v>0</v>
      </c>
    </row>
    <row r="128" spans="1:30" ht="31.5" x14ac:dyDescent="0.25">
      <c r="A128" s="48" t="s">
        <v>187</v>
      </c>
      <c r="B128" s="49" t="s">
        <v>107</v>
      </c>
      <c r="C128" s="144" t="s">
        <v>288</v>
      </c>
      <c r="D128" s="181">
        <v>6.04</v>
      </c>
      <c r="E128" s="145">
        <v>4309.76</v>
      </c>
      <c r="F128" s="145">
        <f t="shared" si="47"/>
        <v>26030.95</v>
      </c>
      <c r="G128" s="146">
        <f t="shared" si="43"/>
        <v>2610.87</v>
      </c>
      <c r="H128" s="147">
        <v>0</v>
      </c>
      <c r="I128" s="219">
        <f t="shared" si="26"/>
        <v>2610.87</v>
      </c>
      <c r="J128" s="215">
        <f t="shared" si="31"/>
        <v>2603.1</v>
      </c>
      <c r="K128" s="229">
        <f t="shared" si="42"/>
        <v>20816.98</v>
      </c>
      <c r="L128" s="103"/>
      <c r="M128" s="150">
        <f>F128</f>
        <v>26030.95</v>
      </c>
      <c r="N128" s="100"/>
      <c r="O128" s="101">
        <v>41423</v>
      </c>
      <c r="P128" s="102">
        <v>41425</v>
      </c>
      <c r="Q128" s="103"/>
      <c r="R128" s="104"/>
      <c r="S128" s="104">
        <f>K128</f>
        <v>20816.98</v>
      </c>
      <c r="T128" s="105"/>
      <c r="U128" s="109">
        <f t="shared" si="48"/>
        <v>1301.55</v>
      </c>
      <c r="V128" s="104">
        <v>1301.55</v>
      </c>
      <c r="W128" s="106"/>
      <c r="X128" s="106"/>
      <c r="Y128" s="106"/>
      <c r="Z128" s="107"/>
      <c r="AA128" s="136">
        <f t="shared" si="32"/>
        <v>2603.1</v>
      </c>
      <c r="AB128" s="196">
        <f t="shared" si="39"/>
        <v>2603.1</v>
      </c>
      <c r="AC128" s="185">
        <f t="shared" si="40"/>
        <v>0</v>
      </c>
      <c r="AD128" s="185">
        <f t="shared" si="41"/>
        <v>0</v>
      </c>
    </row>
    <row r="129" spans="1:30" ht="31.5" x14ac:dyDescent="0.25">
      <c r="A129" s="48" t="s">
        <v>188</v>
      </c>
      <c r="B129" s="49" t="s">
        <v>109</v>
      </c>
      <c r="C129" s="144" t="s">
        <v>290</v>
      </c>
      <c r="D129" s="181">
        <v>68.989999999999995</v>
      </c>
      <c r="E129" s="145">
        <v>105.1</v>
      </c>
      <c r="F129" s="145">
        <f t="shared" si="47"/>
        <v>7250.85</v>
      </c>
      <c r="G129" s="146">
        <f t="shared" si="43"/>
        <v>727.25</v>
      </c>
      <c r="H129" s="147">
        <v>0</v>
      </c>
      <c r="I129" s="219">
        <f t="shared" si="26"/>
        <v>727.25</v>
      </c>
      <c r="J129" s="215">
        <f t="shared" si="31"/>
        <v>725.09</v>
      </c>
      <c r="K129" s="229">
        <f t="shared" si="42"/>
        <v>5798.51</v>
      </c>
      <c r="L129" s="103"/>
      <c r="M129" s="150">
        <f>F129</f>
        <v>7250.85</v>
      </c>
      <c r="N129" s="100"/>
      <c r="O129" s="101">
        <v>41439</v>
      </c>
      <c r="P129" s="102">
        <v>41440</v>
      </c>
      <c r="Q129" s="103"/>
      <c r="R129" s="104"/>
      <c r="S129" s="104">
        <f>K129</f>
        <v>5798.51</v>
      </c>
      <c r="T129" s="105"/>
      <c r="U129" s="109">
        <f t="shared" si="48"/>
        <v>362.55</v>
      </c>
      <c r="V129" s="104">
        <v>362.54</v>
      </c>
      <c r="W129" s="106"/>
      <c r="X129" s="106"/>
      <c r="Y129" s="106"/>
      <c r="Z129" s="107"/>
      <c r="AA129" s="136">
        <f t="shared" si="32"/>
        <v>725.09</v>
      </c>
      <c r="AB129" s="196">
        <f t="shared" si="39"/>
        <v>725.09</v>
      </c>
      <c r="AC129" s="185">
        <f t="shared" si="40"/>
        <v>0</v>
      </c>
      <c r="AD129" s="185">
        <f t="shared" si="41"/>
        <v>0</v>
      </c>
    </row>
    <row r="130" spans="1:30" ht="31.5" x14ac:dyDescent="0.25">
      <c r="A130" s="48" t="s">
        <v>189</v>
      </c>
      <c r="B130" s="49" t="s">
        <v>111</v>
      </c>
      <c r="C130" s="144" t="s">
        <v>290</v>
      </c>
      <c r="D130" s="181">
        <v>68.989999999999995</v>
      </c>
      <c r="E130" s="145">
        <v>1436.37</v>
      </c>
      <c r="F130" s="145">
        <f t="shared" si="47"/>
        <v>99095.17</v>
      </c>
      <c r="G130" s="146">
        <f t="shared" si="43"/>
        <v>9939.1299999999992</v>
      </c>
      <c r="H130" s="147">
        <v>0</v>
      </c>
      <c r="I130" s="219">
        <f t="shared" si="26"/>
        <v>9939.1299999999992</v>
      </c>
      <c r="J130" s="215">
        <f t="shared" si="31"/>
        <v>9909.52</v>
      </c>
      <c r="K130" s="229">
        <f t="shared" si="42"/>
        <v>79246.52</v>
      </c>
      <c r="L130" s="103"/>
      <c r="M130" s="150">
        <f>F130</f>
        <v>99095.17</v>
      </c>
      <c r="N130" s="100"/>
      <c r="O130" s="101">
        <v>41440</v>
      </c>
      <c r="P130" s="102">
        <v>41440</v>
      </c>
      <c r="Q130" s="103"/>
      <c r="R130" s="104"/>
      <c r="S130" s="104">
        <f>K130</f>
        <v>79246.52</v>
      </c>
      <c r="T130" s="105"/>
      <c r="U130" s="109">
        <f t="shared" si="48"/>
        <v>4954.76</v>
      </c>
      <c r="V130" s="104">
        <v>4954.76</v>
      </c>
      <c r="W130" s="106"/>
      <c r="X130" s="106"/>
      <c r="Y130" s="106"/>
      <c r="Z130" s="107"/>
      <c r="AA130" s="136">
        <f t="shared" si="32"/>
        <v>9909.52</v>
      </c>
      <c r="AB130" s="196">
        <f t="shared" si="39"/>
        <v>9909.52</v>
      </c>
      <c r="AC130" s="185">
        <f t="shared" si="40"/>
        <v>0</v>
      </c>
      <c r="AD130" s="185">
        <f t="shared" si="41"/>
        <v>0</v>
      </c>
    </row>
    <row r="131" spans="1:30" ht="31.5" x14ac:dyDescent="0.25">
      <c r="A131" s="48" t="s">
        <v>190</v>
      </c>
      <c r="B131" s="49" t="s">
        <v>109</v>
      </c>
      <c r="C131" s="144" t="s">
        <v>290</v>
      </c>
      <c r="D131" s="181">
        <v>68.989999999999995</v>
      </c>
      <c r="E131" s="145">
        <v>105.1</v>
      </c>
      <c r="F131" s="145">
        <f t="shared" si="47"/>
        <v>7250.85</v>
      </c>
      <c r="G131" s="146">
        <f t="shared" si="43"/>
        <v>727.25</v>
      </c>
      <c r="H131" s="147">
        <v>0</v>
      </c>
      <c r="I131" s="219">
        <f t="shared" si="26"/>
        <v>727.25</v>
      </c>
      <c r="J131" s="215">
        <f t="shared" si="31"/>
        <v>725.09</v>
      </c>
      <c r="K131" s="229">
        <f t="shared" si="42"/>
        <v>5798.51</v>
      </c>
      <c r="L131" s="103"/>
      <c r="M131" s="99"/>
      <c r="N131" s="149">
        <f>F131</f>
        <v>7250.85</v>
      </c>
      <c r="O131" s="101">
        <v>41441</v>
      </c>
      <c r="P131" s="102">
        <v>41441</v>
      </c>
      <c r="Q131" s="103"/>
      <c r="R131" s="104"/>
      <c r="S131" s="104"/>
      <c r="T131" s="105">
        <f>K131</f>
        <v>5798.51</v>
      </c>
      <c r="U131" s="109">
        <f t="shared" si="48"/>
        <v>362.55</v>
      </c>
      <c r="V131" s="104">
        <v>362.54</v>
      </c>
      <c r="W131" s="106"/>
      <c r="X131" s="106"/>
      <c r="Y131" s="106"/>
      <c r="Z131" s="107"/>
      <c r="AA131" s="136">
        <f t="shared" si="32"/>
        <v>725.09</v>
      </c>
      <c r="AB131" s="196">
        <f t="shared" si="39"/>
        <v>725.09</v>
      </c>
      <c r="AC131" s="185">
        <f t="shared" si="40"/>
        <v>0</v>
      </c>
      <c r="AD131" s="185">
        <f t="shared" si="41"/>
        <v>0</v>
      </c>
    </row>
    <row r="132" spans="1:30" ht="31.5" x14ac:dyDescent="0.25">
      <c r="A132" s="48" t="s">
        <v>191</v>
      </c>
      <c r="B132" s="49" t="s">
        <v>114</v>
      </c>
      <c r="C132" s="144" t="s">
        <v>290</v>
      </c>
      <c r="D132" s="163">
        <v>68.989999999999995</v>
      </c>
      <c r="E132" s="145">
        <v>68.680000000000007</v>
      </c>
      <c r="F132" s="145">
        <f t="shared" si="47"/>
        <v>4738.2299999999996</v>
      </c>
      <c r="G132" s="146">
        <f t="shared" si="43"/>
        <v>475.24</v>
      </c>
      <c r="H132" s="147">
        <v>0</v>
      </c>
      <c r="I132" s="219">
        <f t="shared" si="26"/>
        <v>475.24</v>
      </c>
      <c r="J132" s="215">
        <f t="shared" si="31"/>
        <v>473.82</v>
      </c>
      <c r="K132" s="229">
        <f t="shared" si="42"/>
        <v>3789.17</v>
      </c>
      <c r="L132" s="103"/>
      <c r="M132" s="99"/>
      <c r="N132" s="149">
        <f>F132</f>
        <v>4738.2299999999996</v>
      </c>
      <c r="O132" s="101">
        <v>41442</v>
      </c>
      <c r="P132" s="102">
        <v>41442</v>
      </c>
      <c r="Q132" s="103"/>
      <c r="R132" s="104"/>
      <c r="S132" s="104"/>
      <c r="T132" s="105">
        <f>K132</f>
        <v>3789.17</v>
      </c>
      <c r="U132" s="109">
        <f t="shared" si="48"/>
        <v>236.91</v>
      </c>
      <c r="V132" s="104">
        <v>236.91</v>
      </c>
      <c r="W132" s="106"/>
      <c r="X132" s="106"/>
      <c r="Y132" s="106"/>
      <c r="Z132" s="107"/>
      <c r="AA132" s="136">
        <f t="shared" si="32"/>
        <v>473.82</v>
      </c>
      <c r="AB132" s="196">
        <f t="shared" si="39"/>
        <v>473.82</v>
      </c>
      <c r="AC132" s="185">
        <f t="shared" si="40"/>
        <v>0</v>
      </c>
      <c r="AD132" s="185">
        <f t="shared" si="41"/>
        <v>0</v>
      </c>
    </row>
    <row r="133" spans="1:30" ht="31.5" x14ac:dyDescent="0.25">
      <c r="A133" s="48" t="s">
        <v>192</v>
      </c>
      <c r="B133" s="49" t="s">
        <v>116</v>
      </c>
      <c r="C133" s="144" t="s">
        <v>290</v>
      </c>
      <c r="D133" s="163">
        <v>68.989999999999995</v>
      </c>
      <c r="E133" s="145">
        <v>1162.1199999999999</v>
      </c>
      <c r="F133" s="145">
        <f t="shared" si="47"/>
        <v>80174.66</v>
      </c>
      <c r="G133" s="146">
        <f t="shared" si="43"/>
        <v>8041.43</v>
      </c>
      <c r="H133" s="147">
        <v>0</v>
      </c>
      <c r="I133" s="219">
        <f t="shared" si="26"/>
        <v>8041.43</v>
      </c>
      <c r="J133" s="215">
        <f t="shared" si="31"/>
        <v>8017.47</v>
      </c>
      <c r="K133" s="229">
        <f t="shared" si="42"/>
        <v>64115.76</v>
      </c>
      <c r="L133" s="103"/>
      <c r="M133" s="99"/>
      <c r="N133" s="149">
        <f>F133</f>
        <v>80174.66</v>
      </c>
      <c r="O133" s="101">
        <v>41443</v>
      </c>
      <c r="P133" s="102">
        <v>41446</v>
      </c>
      <c r="Q133" s="103"/>
      <c r="R133" s="104"/>
      <c r="S133" s="104"/>
      <c r="T133" s="105">
        <f>K133</f>
        <v>64115.76</v>
      </c>
      <c r="U133" s="109">
        <f t="shared" si="48"/>
        <v>4008.74</v>
      </c>
      <c r="V133" s="104">
        <v>4008.73</v>
      </c>
      <c r="W133" s="106"/>
      <c r="X133" s="106"/>
      <c r="Y133" s="106"/>
      <c r="Z133" s="107"/>
      <c r="AA133" s="136">
        <f t="shared" si="32"/>
        <v>8017.47</v>
      </c>
      <c r="AB133" s="196">
        <f t="shared" si="39"/>
        <v>8017.47</v>
      </c>
      <c r="AC133" s="185">
        <f t="shared" si="40"/>
        <v>0</v>
      </c>
      <c r="AD133" s="185">
        <f t="shared" si="41"/>
        <v>0</v>
      </c>
    </row>
    <row r="134" spans="1:30" ht="31.5" x14ac:dyDescent="0.25">
      <c r="A134" s="48" t="s">
        <v>193</v>
      </c>
      <c r="B134" s="49" t="s">
        <v>118</v>
      </c>
      <c r="C134" s="144" t="s">
        <v>290</v>
      </c>
      <c r="D134" s="163">
        <v>60.41</v>
      </c>
      <c r="E134" s="145">
        <v>1160.32</v>
      </c>
      <c r="F134" s="145">
        <f t="shared" si="47"/>
        <v>70094.929999999993</v>
      </c>
      <c r="G134" s="146">
        <f t="shared" si="43"/>
        <v>7030.44</v>
      </c>
      <c r="H134" s="147">
        <v>0</v>
      </c>
      <c r="I134" s="219">
        <f t="shared" si="26"/>
        <v>7030.44</v>
      </c>
      <c r="J134" s="215">
        <f t="shared" si="31"/>
        <v>7009.49</v>
      </c>
      <c r="K134" s="229">
        <f t="shared" si="42"/>
        <v>56055</v>
      </c>
      <c r="L134" s="103"/>
      <c r="M134" s="99"/>
      <c r="N134" s="149">
        <f>F134</f>
        <v>70094.929999999993</v>
      </c>
      <c r="O134" s="101">
        <v>41425</v>
      </c>
      <c r="P134" s="102">
        <v>41426</v>
      </c>
      <c r="Q134" s="103"/>
      <c r="R134" s="104"/>
      <c r="S134" s="104"/>
      <c r="T134" s="105">
        <f>K134</f>
        <v>56055</v>
      </c>
      <c r="U134" s="109">
        <f t="shared" si="48"/>
        <v>3504.75</v>
      </c>
      <c r="V134" s="104">
        <v>3504.74</v>
      </c>
      <c r="W134" s="106"/>
      <c r="X134" s="106"/>
      <c r="Y134" s="106"/>
      <c r="Z134" s="107"/>
      <c r="AA134" s="136">
        <f t="shared" si="32"/>
        <v>7009.49</v>
      </c>
      <c r="AB134" s="196">
        <f t="shared" si="39"/>
        <v>7009.49</v>
      </c>
      <c r="AC134" s="185">
        <f t="shared" si="40"/>
        <v>0</v>
      </c>
      <c r="AD134" s="185">
        <f t="shared" si="41"/>
        <v>0</v>
      </c>
    </row>
    <row r="135" spans="1:30" ht="31.5" x14ac:dyDescent="0.25">
      <c r="A135" s="48" t="s">
        <v>194</v>
      </c>
      <c r="B135" s="49" t="s">
        <v>109</v>
      </c>
      <c r="C135" s="144" t="s">
        <v>290</v>
      </c>
      <c r="D135" s="163">
        <v>60.41</v>
      </c>
      <c r="E135" s="145">
        <v>79.31</v>
      </c>
      <c r="F135" s="145">
        <f t="shared" si="47"/>
        <v>4791.12</v>
      </c>
      <c r="G135" s="146">
        <f t="shared" si="43"/>
        <v>480.54</v>
      </c>
      <c r="H135" s="147">
        <v>0</v>
      </c>
      <c r="I135" s="219">
        <f t="shared" si="26"/>
        <v>480.54</v>
      </c>
      <c r="J135" s="215">
        <f t="shared" si="31"/>
        <v>479.11</v>
      </c>
      <c r="K135" s="229">
        <f t="shared" si="42"/>
        <v>3831.47</v>
      </c>
      <c r="L135" s="103"/>
      <c r="M135" s="150">
        <f>F135</f>
        <v>4791.12</v>
      </c>
      <c r="N135" s="100"/>
      <c r="O135" s="101">
        <v>41427</v>
      </c>
      <c r="P135" s="102">
        <v>41429</v>
      </c>
      <c r="Q135" s="103"/>
      <c r="R135" s="104"/>
      <c r="S135" s="104">
        <f>K135</f>
        <v>3831.47</v>
      </c>
      <c r="T135" s="105"/>
      <c r="U135" s="109">
        <f t="shared" si="48"/>
        <v>239.56</v>
      </c>
      <c r="V135" s="104">
        <v>239.55</v>
      </c>
      <c r="W135" s="106"/>
      <c r="X135" s="106"/>
      <c r="Y135" s="106"/>
      <c r="Z135" s="107"/>
      <c r="AA135" s="136">
        <f t="shared" si="32"/>
        <v>479.11</v>
      </c>
      <c r="AB135" s="196">
        <f t="shared" si="39"/>
        <v>479.11</v>
      </c>
      <c r="AC135" s="185">
        <f t="shared" si="40"/>
        <v>0</v>
      </c>
      <c r="AD135" s="185">
        <f t="shared" si="41"/>
        <v>0</v>
      </c>
    </row>
    <row r="136" spans="1:30" ht="31.5" x14ac:dyDescent="0.25">
      <c r="A136" s="48" t="s">
        <v>195</v>
      </c>
      <c r="B136" s="49" t="s">
        <v>122</v>
      </c>
      <c r="C136" s="144" t="s">
        <v>290</v>
      </c>
      <c r="D136" s="163">
        <v>60.41</v>
      </c>
      <c r="E136" s="145">
        <v>469.55</v>
      </c>
      <c r="F136" s="145">
        <f t="shared" si="47"/>
        <v>28365.52</v>
      </c>
      <c r="G136" s="146">
        <f t="shared" si="43"/>
        <v>2845.03</v>
      </c>
      <c r="H136" s="147">
        <v>0</v>
      </c>
      <c r="I136" s="219">
        <f t="shared" si="26"/>
        <v>2845.03</v>
      </c>
      <c r="J136" s="215">
        <f t="shared" si="31"/>
        <v>2836.55</v>
      </c>
      <c r="K136" s="229">
        <f t="shared" si="42"/>
        <v>22683.94</v>
      </c>
      <c r="L136" s="103"/>
      <c r="M136" s="150">
        <f>F136</f>
        <v>28365.52</v>
      </c>
      <c r="N136" s="100"/>
      <c r="O136" s="101">
        <v>41429</v>
      </c>
      <c r="P136" s="102">
        <v>41430</v>
      </c>
      <c r="Q136" s="103"/>
      <c r="R136" s="104"/>
      <c r="S136" s="104">
        <f>K136</f>
        <v>22683.94</v>
      </c>
      <c r="T136" s="105"/>
      <c r="U136" s="109">
        <f t="shared" si="48"/>
        <v>1418.28</v>
      </c>
      <c r="V136" s="104">
        <v>1418.27</v>
      </c>
      <c r="W136" s="106"/>
      <c r="X136" s="106"/>
      <c r="Y136" s="106"/>
      <c r="Z136" s="107"/>
      <c r="AA136" s="136">
        <f t="shared" si="32"/>
        <v>2836.55</v>
      </c>
      <c r="AB136" s="196">
        <f t="shared" si="39"/>
        <v>2836.55</v>
      </c>
      <c r="AC136" s="185">
        <f t="shared" si="40"/>
        <v>0</v>
      </c>
      <c r="AD136" s="185">
        <f t="shared" si="41"/>
        <v>0</v>
      </c>
    </row>
    <row r="137" spans="1:30" ht="63" x14ac:dyDescent="0.25">
      <c r="A137" s="48" t="s">
        <v>196</v>
      </c>
      <c r="B137" s="49" t="s">
        <v>124</v>
      </c>
      <c r="C137" s="144" t="s">
        <v>288</v>
      </c>
      <c r="D137" s="181">
        <v>54.37</v>
      </c>
      <c r="E137" s="145">
        <v>8134.97</v>
      </c>
      <c r="F137" s="145">
        <f t="shared" si="47"/>
        <v>442298.32</v>
      </c>
      <c r="G137" s="146">
        <f t="shared" si="43"/>
        <v>44362.01</v>
      </c>
      <c r="H137" s="147">
        <v>0</v>
      </c>
      <c r="I137" s="219">
        <f t="shared" si="26"/>
        <v>44362.01</v>
      </c>
      <c r="J137" s="215">
        <f t="shared" si="31"/>
        <v>44229.83</v>
      </c>
      <c r="K137" s="229">
        <f t="shared" si="42"/>
        <v>353706.48</v>
      </c>
      <c r="L137" s="103"/>
      <c r="M137" s="150">
        <f>F137</f>
        <v>442298.32</v>
      </c>
      <c r="N137" s="100"/>
      <c r="O137" s="101">
        <v>41433</v>
      </c>
      <c r="P137" s="102">
        <v>41437</v>
      </c>
      <c r="Q137" s="103"/>
      <c r="R137" s="104"/>
      <c r="S137" s="104">
        <f>K137</f>
        <v>353706.48</v>
      </c>
      <c r="T137" s="105"/>
      <c r="U137" s="109">
        <f t="shared" si="48"/>
        <v>22114.92</v>
      </c>
      <c r="V137" s="104">
        <v>22114.91</v>
      </c>
      <c r="W137" s="106"/>
      <c r="X137" s="106"/>
      <c r="Y137" s="106"/>
      <c r="Z137" s="107"/>
      <c r="AA137" s="136">
        <f t="shared" si="32"/>
        <v>44229.83</v>
      </c>
      <c r="AB137" s="196">
        <f t="shared" si="39"/>
        <v>44229.83</v>
      </c>
      <c r="AC137" s="185">
        <f t="shared" si="40"/>
        <v>0</v>
      </c>
      <c r="AD137" s="185">
        <f t="shared" si="41"/>
        <v>0</v>
      </c>
    </row>
    <row r="138" spans="1:30" s="80" customFormat="1" x14ac:dyDescent="0.25">
      <c r="A138" s="46" t="s">
        <v>197</v>
      </c>
      <c r="B138" s="47" t="s">
        <v>198</v>
      </c>
      <c r="C138" s="24"/>
      <c r="D138" s="162"/>
      <c r="E138" s="25"/>
      <c r="F138" s="25"/>
      <c r="G138" s="26">
        <f t="shared" si="43"/>
        <v>0</v>
      </c>
      <c r="H138" s="27">
        <v>0</v>
      </c>
      <c r="I138" s="220"/>
      <c r="J138" s="229">
        <f t="shared" si="31"/>
        <v>0</v>
      </c>
      <c r="K138" s="229">
        <f t="shared" si="42"/>
        <v>0</v>
      </c>
      <c r="L138" s="93"/>
      <c r="M138" s="90"/>
      <c r="N138" s="98"/>
      <c r="O138" s="91"/>
      <c r="P138" s="92"/>
      <c r="Q138" s="93"/>
      <c r="R138" s="29"/>
      <c r="S138" s="29"/>
      <c r="T138" s="94"/>
      <c r="U138" s="109"/>
      <c r="V138" s="104"/>
      <c r="W138" s="106"/>
      <c r="X138" s="106"/>
      <c r="Y138" s="106"/>
      <c r="Z138" s="107"/>
      <c r="AA138" s="136"/>
      <c r="AB138" s="196">
        <f t="shared" si="39"/>
        <v>0</v>
      </c>
      <c r="AC138" s="185">
        <f t="shared" si="40"/>
        <v>0</v>
      </c>
      <c r="AD138" s="185">
        <f t="shared" si="41"/>
        <v>0</v>
      </c>
    </row>
    <row r="139" spans="1:30" ht="31.5" x14ac:dyDescent="0.25">
      <c r="A139" s="48" t="s">
        <v>199</v>
      </c>
      <c r="B139" s="49" t="s">
        <v>105</v>
      </c>
      <c r="C139" s="144" t="s">
        <v>288</v>
      </c>
      <c r="D139" s="181">
        <v>20.88</v>
      </c>
      <c r="E139" s="145">
        <v>1804.86</v>
      </c>
      <c r="F139" s="145">
        <f t="shared" si="47"/>
        <v>37685.480000000003</v>
      </c>
      <c r="G139" s="146">
        <f t="shared" si="43"/>
        <v>3779.81</v>
      </c>
      <c r="H139" s="147">
        <v>0</v>
      </c>
      <c r="I139" s="219">
        <f t="shared" si="26"/>
        <v>3779.81</v>
      </c>
      <c r="J139" s="215">
        <f t="shared" si="31"/>
        <v>3768.55</v>
      </c>
      <c r="K139" s="229">
        <f t="shared" si="42"/>
        <v>30137.119999999999</v>
      </c>
      <c r="L139" s="103"/>
      <c r="M139" s="150">
        <f>F139</f>
        <v>37685.480000000003</v>
      </c>
      <c r="N139" s="100"/>
      <c r="O139" s="101">
        <v>41435</v>
      </c>
      <c r="P139" s="102">
        <v>41437</v>
      </c>
      <c r="Q139" s="103"/>
      <c r="R139" s="104"/>
      <c r="S139" s="104">
        <f>K139</f>
        <v>30137.119999999999</v>
      </c>
      <c r="T139" s="105"/>
      <c r="U139" s="109">
        <f t="shared" ref="U139:U149" si="49">J139*0.5</f>
        <v>1884.28</v>
      </c>
      <c r="V139" s="104">
        <v>1884.27</v>
      </c>
      <c r="W139" s="106"/>
      <c r="X139" s="106"/>
      <c r="Y139" s="106"/>
      <c r="Z139" s="107"/>
      <c r="AA139" s="136">
        <f t="shared" si="32"/>
        <v>3768.55</v>
      </c>
      <c r="AB139" s="196">
        <f t="shared" si="39"/>
        <v>3768.55</v>
      </c>
      <c r="AC139" s="185">
        <f t="shared" si="40"/>
        <v>0</v>
      </c>
      <c r="AD139" s="185">
        <f t="shared" si="41"/>
        <v>0</v>
      </c>
    </row>
    <row r="140" spans="1:30" ht="31.5" x14ac:dyDescent="0.25">
      <c r="A140" s="48" t="s">
        <v>200</v>
      </c>
      <c r="B140" s="49" t="s">
        <v>107</v>
      </c>
      <c r="C140" s="144" t="s">
        <v>288</v>
      </c>
      <c r="D140" s="181">
        <v>20.88</v>
      </c>
      <c r="E140" s="145">
        <v>4309.76</v>
      </c>
      <c r="F140" s="145">
        <f t="shared" si="47"/>
        <v>89987.79</v>
      </c>
      <c r="G140" s="146">
        <f t="shared" si="43"/>
        <v>9025.67</v>
      </c>
      <c r="H140" s="147">
        <v>0</v>
      </c>
      <c r="I140" s="219">
        <f t="shared" si="26"/>
        <v>9025.67</v>
      </c>
      <c r="J140" s="215">
        <f t="shared" si="31"/>
        <v>8998.7800000000007</v>
      </c>
      <c r="K140" s="229">
        <f t="shared" si="42"/>
        <v>71963.34</v>
      </c>
      <c r="L140" s="103"/>
      <c r="M140" s="150">
        <f>F140</f>
        <v>89987.79</v>
      </c>
      <c r="N140" s="100"/>
      <c r="O140" s="101">
        <v>41437</v>
      </c>
      <c r="P140" s="102">
        <v>41441</v>
      </c>
      <c r="Q140" s="103"/>
      <c r="R140" s="104"/>
      <c r="S140" s="104">
        <f>K140</f>
        <v>71963.34</v>
      </c>
      <c r="T140" s="105"/>
      <c r="U140" s="109">
        <f t="shared" si="49"/>
        <v>4499.3900000000003</v>
      </c>
      <c r="V140" s="104">
        <v>4499.3900000000003</v>
      </c>
      <c r="W140" s="106"/>
      <c r="X140" s="106"/>
      <c r="Y140" s="106"/>
      <c r="Z140" s="107"/>
      <c r="AA140" s="136">
        <f t="shared" si="32"/>
        <v>8998.7800000000007</v>
      </c>
      <c r="AB140" s="196">
        <f t="shared" si="39"/>
        <v>8998.7800000000007</v>
      </c>
      <c r="AC140" s="185">
        <f t="shared" si="40"/>
        <v>0</v>
      </c>
      <c r="AD140" s="185">
        <f t="shared" si="41"/>
        <v>0</v>
      </c>
    </row>
    <row r="141" spans="1:30" ht="31.5" x14ac:dyDescent="0.25">
      <c r="A141" s="48" t="s">
        <v>201</v>
      </c>
      <c r="B141" s="49" t="s">
        <v>109</v>
      </c>
      <c r="C141" s="144" t="s">
        <v>290</v>
      </c>
      <c r="D141" s="163">
        <v>347.76</v>
      </c>
      <c r="E141" s="145">
        <v>105.1</v>
      </c>
      <c r="F141" s="145">
        <f t="shared" si="47"/>
        <v>36549.58</v>
      </c>
      <c r="G141" s="146">
        <f t="shared" si="43"/>
        <v>3665.88</v>
      </c>
      <c r="H141" s="147">
        <v>0</v>
      </c>
      <c r="I141" s="219">
        <f t="shared" si="26"/>
        <v>3665.88</v>
      </c>
      <c r="J141" s="215">
        <f t="shared" si="31"/>
        <v>3654.96</v>
      </c>
      <c r="K141" s="229">
        <f t="shared" si="42"/>
        <v>29228.74</v>
      </c>
      <c r="L141" s="103"/>
      <c r="M141" s="150">
        <f>F141</f>
        <v>36549.58</v>
      </c>
      <c r="N141" s="100"/>
      <c r="O141" s="101">
        <v>41442</v>
      </c>
      <c r="P141" s="102">
        <v>41442</v>
      </c>
      <c r="Q141" s="103"/>
      <c r="R141" s="104"/>
      <c r="S141" s="104">
        <f>K141</f>
        <v>29228.74</v>
      </c>
      <c r="T141" s="105"/>
      <c r="U141" s="109">
        <f t="shared" si="49"/>
        <v>1827.48</v>
      </c>
      <c r="V141" s="104">
        <v>1827.48</v>
      </c>
      <c r="W141" s="106"/>
      <c r="X141" s="106"/>
      <c r="Y141" s="106"/>
      <c r="Z141" s="107"/>
      <c r="AA141" s="136">
        <f t="shared" si="32"/>
        <v>3654.96</v>
      </c>
      <c r="AB141" s="196">
        <f t="shared" si="39"/>
        <v>3654.96</v>
      </c>
      <c r="AC141" s="185">
        <f t="shared" si="40"/>
        <v>0</v>
      </c>
      <c r="AD141" s="185">
        <f t="shared" si="41"/>
        <v>0</v>
      </c>
    </row>
    <row r="142" spans="1:30" ht="31.5" x14ac:dyDescent="0.25">
      <c r="A142" s="48" t="s">
        <v>202</v>
      </c>
      <c r="B142" s="49" t="s">
        <v>111</v>
      </c>
      <c r="C142" s="144" t="s">
        <v>290</v>
      </c>
      <c r="D142" s="163">
        <v>347.76</v>
      </c>
      <c r="E142" s="145">
        <v>1436.37</v>
      </c>
      <c r="F142" s="145">
        <f t="shared" si="47"/>
        <v>499512.03</v>
      </c>
      <c r="G142" s="146">
        <f t="shared" si="43"/>
        <v>50100.480000000003</v>
      </c>
      <c r="H142" s="147">
        <v>0</v>
      </c>
      <c r="I142" s="219">
        <f t="shared" si="26"/>
        <v>50100.480000000003</v>
      </c>
      <c r="J142" s="215">
        <f t="shared" si="31"/>
        <v>49951.199999999997</v>
      </c>
      <c r="K142" s="229">
        <f t="shared" si="42"/>
        <v>399460.35</v>
      </c>
      <c r="L142" s="103"/>
      <c r="M142" s="99"/>
      <c r="N142" s="149">
        <f t="shared" ref="N142:N149" si="50">F142</f>
        <v>499512.03</v>
      </c>
      <c r="O142" s="101">
        <v>41442</v>
      </c>
      <c r="P142" s="102">
        <v>41443</v>
      </c>
      <c r="Q142" s="103"/>
      <c r="R142" s="104"/>
      <c r="S142" s="104"/>
      <c r="T142" s="105">
        <f t="shared" ref="T142:T149" si="51">K142</f>
        <v>399460.35</v>
      </c>
      <c r="U142" s="109">
        <f t="shared" si="49"/>
        <v>24975.599999999999</v>
      </c>
      <c r="V142" s="104">
        <v>24975.599999999999</v>
      </c>
      <c r="W142" s="106"/>
      <c r="X142" s="106"/>
      <c r="Y142" s="106"/>
      <c r="Z142" s="107"/>
      <c r="AA142" s="136">
        <f t="shared" si="32"/>
        <v>49951.199999999997</v>
      </c>
      <c r="AB142" s="196">
        <f t="shared" si="39"/>
        <v>49951.199999999997</v>
      </c>
      <c r="AC142" s="185">
        <f t="shared" si="40"/>
        <v>0</v>
      </c>
      <c r="AD142" s="185">
        <f t="shared" si="41"/>
        <v>0</v>
      </c>
    </row>
    <row r="143" spans="1:30" ht="31.5" x14ac:dyDescent="0.25">
      <c r="A143" s="48" t="s">
        <v>203</v>
      </c>
      <c r="B143" s="49" t="s">
        <v>109</v>
      </c>
      <c r="C143" s="144" t="s">
        <v>290</v>
      </c>
      <c r="D143" s="163">
        <v>347.76</v>
      </c>
      <c r="E143" s="145">
        <v>105.1</v>
      </c>
      <c r="F143" s="145">
        <f t="shared" si="47"/>
        <v>36549.58</v>
      </c>
      <c r="G143" s="146">
        <f t="shared" si="43"/>
        <v>3665.88</v>
      </c>
      <c r="H143" s="147">
        <v>0</v>
      </c>
      <c r="I143" s="219">
        <f t="shared" si="26"/>
        <v>3665.88</v>
      </c>
      <c r="J143" s="215">
        <f t="shared" si="31"/>
        <v>3654.96</v>
      </c>
      <c r="K143" s="229">
        <f t="shared" si="42"/>
        <v>29228.74</v>
      </c>
      <c r="L143" s="103"/>
      <c r="M143" s="99"/>
      <c r="N143" s="149">
        <f t="shared" si="50"/>
        <v>36549.58</v>
      </c>
      <c r="O143" s="101">
        <v>41443</v>
      </c>
      <c r="P143" s="102">
        <v>41444</v>
      </c>
      <c r="Q143" s="103"/>
      <c r="R143" s="104"/>
      <c r="S143" s="104"/>
      <c r="T143" s="105">
        <f t="shared" si="51"/>
        <v>29228.74</v>
      </c>
      <c r="U143" s="109">
        <f t="shared" si="49"/>
        <v>1827.48</v>
      </c>
      <c r="V143" s="104">
        <v>1827.48</v>
      </c>
      <c r="W143" s="106"/>
      <c r="X143" s="106"/>
      <c r="Y143" s="106"/>
      <c r="Z143" s="107"/>
      <c r="AA143" s="136">
        <f t="shared" si="32"/>
        <v>3654.96</v>
      </c>
      <c r="AB143" s="196">
        <f t="shared" si="39"/>
        <v>3654.96</v>
      </c>
      <c r="AC143" s="185">
        <f t="shared" si="40"/>
        <v>0</v>
      </c>
      <c r="AD143" s="185">
        <f t="shared" si="41"/>
        <v>0</v>
      </c>
    </row>
    <row r="144" spans="1:30" ht="31.5" x14ac:dyDescent="0.25">
      <c r="A144" s="48" t="s">
        <v>204</v>
      </c>
      <c r="B144" s="49" t="s">
        <v>114</v>
      </c>
      <c r="C144" s="144" t="s">
        <v>290</v>
      </c>
      <c r="D144" s="163">
        <v>347.76</v>
      </c>
      <c r="E144" s="145">
        <v>68.680000000000007</v>
      </c>
      <c r="F144" s="145">
        <f t="shared" si="47"/>
        <v>23884.16</v>
      </c>
      <c r="G144" s="146">
        <f t="shared" si="43"/>
        <v>2395.5500000000002</v>
      </c>
      <c r="H144" s="147">
        <v>0</v>
      </c>
      <c r="I144" s="219">
        <f t="shared" si="26"/>
        <v>2395.5500000000002</v>
      </c>
      <c r="J144" s="215">
        <f t="shared" si="31"/>
        <v>2388.42</v>
      </c>
      <c r="K144" s="229">
        <f t="shared" si="42"/>
        <v>19100.189999999999</v>
      </c>
      <c r="L144" s="103"/>
      <c r="M144" s="99"/>
      <c r="N144" s="149">
        <f t="shared" si="50"/>
        <v>23884.16</v>
      </c>
      <c r="O144" s="101">
        <v>41444</v>
      </c>
      <c r="P144" s="102">
        <v>41445</v>
      </c>
      <c r="Q144" s="103"/>
      <c r="R144" s="104"/>
      <c r="S144" s="104"/>
      <c r="T144" s="105">
        <f t="shared" si="51"/>
        <v>19100.189999999999</v>
      </c>
      <c r="U144" s="109">
        <f t="shared" si="49"/>
        <v>1194.21</v>
      </c>
      <c r="V144" s="104">
        <v>1194.21</v>
      </c>
      <c r="W144" s="106"/>
      <c r="X144" s="106"/>
      <c r="Y144" s="106"/>
      <c r="Z144" s="107"/>
      <c r="AA144" s="136">
        <f t="shared" si="32"/>
        <v>2388.42</v>
      </c>
      <c r="AB144" s="196">
        <f t="shared" ref="AB144:AB175" si="52">F144-I144-K144</f>
        <v>2388.42</v>
      </c>
      <c r="AC144" s="185">
        <f t="shared" ref="AC144:AC175" si="53">J144-AA144</f>
        <v>0</v>
      </c>
      <c r="AD144" s="185">
        <f t="shared" ref="AD144:AD175" si="54">J144-AA144</f>
        <v>0</v>
      </c>
    </row>
    <row r="145" spans="1:30" ht="31.5" x14ac:dyDescent="0.25">
      <c r="A145" s="48" t="s">
        <v>205</v>
      </c>
      <c r="B145" s="49" t="s">
        <v>116</v>
      </c>
      <c r="C145" s="144" t="s">
        <v>290</v>
      </c>
      <c r="D145" s="163">
        <v>347.76</v>
      </c>
      <c r="E145" s="145">
        <v>1162.1199999999999</v>
      </c>
      <c r="F145" s="145">
        <f t="shared" si="47"/>
        <v>404138.85</v>
      </c>
      <c r="G145" s="146">
        <f t="shared" si="43"/>
        <v>40534.660000000003</v>
      </c>
      <c r="H145" s="147">
        <v>0</v>
      </c>
      <c r="I145" s="219">
        <f t="shared" ref="I145:I208" si="55">G145</f>
        <v>40534.660000000003</v>
      </c>
      <c r="J145" s="215">
        <f t="shared" si="31"/>
        <v>40413.89</v>
      </c>
      <c r="K145" s="229">
        <f t="shared" si="42"/>
        <v>323190.3</v>
      </c>
      <c r="L145" s="103"/>
      <c r="M145" s="99"/>
      <c r="N145" s="149">
        <f t="shared" si="50"/>
        <v>404138.85</v>
      </c>
      <c r="O145" s="101">
        <v>41445</v>
      </c>
      <c r="P145" s="102">
        <v>41450</v>
      </c>
      <c r="Q145" s="103"/>
      <c r="R145" s="104"/>
      <c r="S145" s="104"/>
      <c r="T145" s="105">
        <f t="shared" si="51"/>
        <v>323190.3</v>
      </c>
      <c r="U145" s="109">
        <f t="shared" si="49"/>
        <v>20206.95</v>
      </c>
      <c r="V145" s="104">
        <v>20206.939999999999</v>
      </c>
      <c r="W145" s="106"/>
      <c r="X145" s="106"/>
      <c r="Y145" s="106"/>
      <c r="Z145" s="107"/>
      <c r="AA145" s="136">
        <f t="shared" si="32"/>
        <v>40413.89</v>
      </c>
      <c r="AB145" s="196">
        <f t="shared" si="52"/>
        <v>40413.89</v>
      </c>
      <c r="AC145" s="185">
        <f t="shared" si="53"/>
        <v>0</v>
      </c>
      <c r="AD145" s="185">
        <f t="shared" si="54"/>
        <v>0</v>
      </c>
    </row>
    <row r="146" spans="1:30" ht="31.5" x14ac:dyDescent="0.25">
      <c r="A146" s="48" t="s">
        <v>206</v>
      </c>
      <c r="B146" s="49" t="s">
        <v>118</v>
      </c>
      <c r="C146" s="144" t="s">
        <v>290</v>
      </c>
      <c r="D146" s="181">
        <v>208.79</v>
      </c>
      <c r="E146" s="145">
        <v>1160.32</v>
      </c>
      <c r="F146" s="145">
        <f t="shared" si="47"/>
        <v>242263.21</v>
      </c>
      <c r="G146" s="146">
        <f t="shared" si="43"/>
        <v>24298.720000000001</v>
      </c>
      <c r="H146" s="147">
        <v>0</v>
      </c>
      <c r="I146" s="219">
        <f t="shared" si="55"/>
        <v>24298.720000000001</v>
      </c>
      <c r="J146" s="215">
        <f t="shared" si="31"/>
        <v>24226.32</v>
      </c>
      <c r="K146" s="229">
        <f t="shared" ref="K146:K177" si="56">F146-I146-J146</f>
        <v>193738.17</v>
      </c>
      <c r="L146" s="103"/>
      <c r="M146" s="99"/>
      <c r="N146" s="149">
        <f t="shared" si="50"/>
        <v>242263.21</v>
      </c>
      <c r="O146" s="101">
        <v>41450</v>
      </c>
      <c r="P146" s="102">
        <v>41452</v>
      </c>
      <c r="Q146" s="103"/>
      <c r="R146" s="104"/>
      <c r="S146" s="104"/>
      <c r="T146" s="105">
        <f t="shared" si="51"/>
        <v>193738.17</v>
      </c>
      <c r="U146" s="109">
        <f t="shared" si="49"/>
        <v>12113.16</v>
      </c>
      <c r="V146" s="104">
        <v>12113.16</v>
      </c>
      <c r="W146" s="106"/>
      <c r="X146" s="106"/>
      <c r="Y146" s="106"/>
      <c r="Z146" s="107"/>
      <c r="AA146" s="136">
        <f t="shared" si="32"/>
        <v>24226.32</v>
      </c>
      <c r="AB146" s="196">
        <f t="shared" si="52"/>
        <v>24226.32</v>
      </c>
      <c r="AC146" s="185">
        <f t="shared" si="53"/>
        <v>0</v>
      </c>
      <c r="AD146" s="185">
        <f t="shared" si="54"/>
        <v>0</v>
      </c>
    </row>
    <row r="147" spans="1:30" ht="31.5" x14ac:dyDescent="0.25">
      <c r="A147" s="48" t="s">
        <v>207</v>
      </c>
      <c r="B147" s="49" t="s">
        <v>109</v>
      </c>
      <c r="C147" s="144" t="s">
        <v>290</v>
      </c>
      <c r="D147" s="181">
        <v>208.79</v>
      </c>
      <c r="E147" s="145">
        <v>79.31</v>
      </c>
      <c r="F147" s="145">
        <f t="shared" si="47"/>
        <v>16559.13</v>
      </c>
      <c r="G147" s="146">
        <f t="shared" ref="G147:G178" si="57">F147*$AE$6</f>
        <v>1660.86</v>
      </c>
      <c r="H147" s="147">
        <v>0</v>
      </c>
      <c r="I147" s="219">
        <f t="shared" si="55"/>
        <v>1660.86</v>
      </c>
      <c r="J147" s="215">
        <f t="shared" ref="J147:J209" si="58">F147*0.1</f>
        <v>1655.91</v>
      </c>
      <c r="K147" s="229">
        <f t="shared" si="56"/>
        <v>13242.36</v>
      </c>
      <c r="L147" s="103"/>
      <c r="M147" s="99"/>
      <c r="N147" s="149">
        <f t="shared" si="50"/>
        <v>16559.13</v>
      </c>
      <c r="O147" s="101">
        <v>41452</v>
      </c>
      <c r="P147" s="102">
        <v>41452</v>
      </c>
      <c r="Q147" s="103"/>
      <c r="R147" s="104"/>
      <c r="S147" s="104"/>
      <c r="T147" s="105">
        <f t="shared" si="51"/>
        <v>13242.36</v>
      </c>
      <c r="U147" s="109">
        <f t="shared" si="49"/>
        <v>827.96</v>
      </c>
      <c r="V147" s="104">
        <v>827.95</v>
      </c>
      <c r="W147" s="106"/>
      <c r="X147" s="106"/>
      <c r="Y147" s="106"/>
      <c r="Z147" s="107"/>
      <c r="AA147" s="136">
        <f t="shared" si="32"/>
        <v>1655.91</v>
      </c>
      <c r="AB147" s="196">
        <f t="shared" si="52"/>
        <v>1655.91</v>
      </c>
      <c r="AC147" s="185">
        <f t="shared" si="53"/>
        <v>0</v>
      </c>
      <c r="AD147" s="185">
        <f t="shared" si="54"/>
        <v>0</v>
      </c>
    </row>
    <row r="148" spans="1:30" ht="31.5" x14ac:dyDescent="0.25">
      <c r="A148" s="48" t="s">
        <v>208</v>
      </c>
      <c r="B148" s="49" t="s">
        <v>122</v>
      </c>
      <c r="C148" s="144" t="s">
        <v>290</v>
      </c>
      <c r="D148" s="181">
        <v>208.79</v>
      </c>
      <c r="E148" s="145">
        <v>469.55</v>
      </c>
      <c r="F148" s="145">
        <f t="shared" si="47"/>
        <v>98037.34</v>
      </c>
      <c r="G148" s="146">
        <f t="shared" si="57"/>
        <v>9833.0300000000007</v>
      </c>
      <c r="H148" s="147">
        <v>0</v>
      </c>
      <c r="I148" s="219">
        <f t="shared" si="55"/>
        <v>9833.0300000000007</v>
      </c>
      <c r="J148" s="215">
        <f t="shared" si="58"/>
        <v>9803.73</v>
      </c>
      <c r="K148" s="229">
        <f t="shared" si="56"/>
        <v>78400.58</v>
      </c>
      <c r="L148" s="103"/>
      <c r="M148" s="99"/>
      <c r="N148" s="149">
        <f t="shared" si="50"/>
        <v>98037.34</v>
      </c>
      <c r="O148" s="101">
        <v>41452</v>
      </c>
      <c r="P148" s="102">
        <v>41453</v>
      </c>
      <c r="Q148" s="103"/>
      <c r="R148" s="104"/>
      <c r="S148" s="104"/>
      <c r="T148" s="105">
        <f t="shared" si="51"/>
        <v>78400.58</v>
      </c>
      <c r="U148" s="109">
        <f t="shared" si="49"/>
        <v>4901.87</v>
      </c>
      <c r="V148" s="104">
        <v>4901.8599999999997</v>
      </c>
      <c r="W148" s="106"/>
      <c r="X148" s="106"/>
      <c r="Y148" s="106"/>
      <c r="Z148" s="107"/>
      <c r="AA148" s="136">
        <f t="shared" ref="AA148:AA211" si="59">U148+V148</f>
        <v>9803.73</v>
      </c>
      <c r="AB148" s="196">
        <f t="shared" si="52"/>
        <v>9803.73</v>
      </c>
      <c r="AC148" s="185">
        <f t="shared" si="53"/>
        <v>0</v>
      </c>
      <c r="AD148" s="185">
        <f t="shared" si="54"/>
        <v>0</v>
      </c>
    </row>
    <row r="149" spans="1:30" ht="63" x14ac:dyDescent="0.25">
      <c r="A149" s="48" t="s">
        <v>209</v>
      </c>
      <c r="B149" s="49" t="s">
        <v>124</v>
      </c>
      <c r="C149" s="144" t="s">
        <v>288</v>
      </c>
      <c r="D149" s="181">
        <v>250.55</v>
      </c>
      <c r="E149" s="145">
        <v>8134.97</v>
      </c>
      <c r="F149" s="145">
        <f t="shared" si="47"/>
        <v>2038216.73</v>
      </c>
      <c r="G149" s="146">
        <f t="shared" si="57"/>
        <v>204430.77</v>
      </c>
      <c r="H149" s="147">
        <v>0</v>
      </c>
      <c r="I149" s="219">
        <f t="shared" si="55"/>
        <v>204430.77</v>
      </c>
      <c r="J149" s="215">
        <f t="shared" si="58"/>
        <v>203821.67</v>
      </c>
      <c r="K149" s="229">
        <f t="shared" si="56"/>
        <v>1629964.29</v>
      </c>
      <c r="L149" s="103"/>
      <c r="M149" s="99"/>
      <c r="N149" s="149">
        <f t="shared" si="50"/>
        <v>2038216.73</v>
      </c>
      <c r="O149" s="101">
        <v>41453</v>
      </c>
      <c r="P149" s="102">
        <v>41456</v>
      </c>
      <c r="Q149" s="103"/>
      <c r="R149" s="104"/>
      <c r="S149" s="104"/>
      <c r="T149" s="105">
        <f t="shared" si="51"/>
        <v>1629964.29</v>
      </c>
      <c r="U149" s="109">
        <f t="shared" si="49"/>
        <v>101910.84</v>
      </c>
      <c r="V149" s="104">
        <v>101910.83</v>
      </c>
      <c r="W149" s="106"/>
      <c r="X149" s="106"/>
      <c r="Y149" s="106"/>
      <c r="Z149" s="107"/>
      <c r="AA149" s="136">
        <f t="shared" si="59"/>
        <v>203821.67</v>
      </c>
      <c r="AB149" s="196">
        <f t="shared" si="52"/>
        <v>203821.67</v>
      </c>
      <c r="AC149" s="185">
        <f t="shared" si="53"/>
        <v>0</v>
      </c>
      <c r="AD149" s="185">
        <f t="shared" si="54"/>
        <v>0</v>
      </c>
    </row>
    <row r="150" spans="1:30" s="80" customFormat="1" x14ac:dyDescent="0.25">
      <c r="A150" s="46" t="s">
        <v>210</v>
      </c>
      <c r="B150" s="47" t="s">
        <v>211</v>
      </c>
      <c r="C150" s="24"/>
      <c r="D150" s="162"/>
      <c r="E150" s="25"/>
      <c r="F150" s="25"/>
      <c r="G150" s="26">
        <f t="shared" si="57"/>
        <v>0</v>
      </c>
      <c r="H150" s="27">
        <v>0</v>
      </c>
      <c r="I150" s="220"/>
      <c r="J150" s="229">
        <f t="shared" si="58"/>
        <v>0</v>
      </c>
      <c r="K150" s="229">
        <f t="shared" si="56"/>
        <v>0</v>
      </c>
      <c r="L150" s="93"/>
      <c r="M150" s="90"/>
      <c r="N150" s="98"/>
      <c r="O150" s="91"/>
      <c r="P150" s="92"/>
      <c r="Q150" s="93"/>
      <c r="R150" s="29"/>
      <c r="S150" s="29"/>
      <c r="T150" s="94"/>
      <c r="U150" s="109"/>
      <c r="V150" s="104"/>
      <c r="W150" s="106"/>
      <c r="X150" s="106"/>
      <c r="Y150" s="106"/>
      <c r="Z150" s="107"/>
      <c r="AA150" s="136"/>
      <c r="AB150" s="196">
        <f t="shared" si="52"/>
        <v>0</v>
      </c>
      <c r="AC150" s="185">
        <f t="shared" si="53"/>
        <v>0</v>
      </c>
      <c r="AD150" s="185">
        <f t="shared" si="54"/>
        <v>0</v>
      </c>
    </row>
    <row r="151" spans="1:30" ht="31.5" x14ac:dyDescent="0.25">
      <c r="A151" s="48" t="s">
        <v>212</v>
      </c>
      <c r="B151" s="49" t="s">
        <v>105</v>
      </c>
      <c r="C151" s="144" t="s">
        <v>288</v>
      </c>
      <c r="D151" s="181">
        <v>4.76</v>
      </c>
      <c r="E151" s="145">
        <v>1804.86</v>
      </c>
      <c r="F151" s="145">
        <f t="shared" si="47"/>
        <v>8591.1299999999992</v>
      </c>
      <c r="G151" s="146">
        <f t="shared" si="57"/>
        <v>861.68</v>
      </c>
      <c r="H151" s="147">
        <v>0</v>
      </c>
      <c r="I151" s="219">
        <f t="shared" si="55"/>
        <v>861.68</v>
      </c>
      <c r="J151" s="215">
        <f t="shared" si="58"/>
        <v>859.11</v>
      </c>
      <c r="K151" s="229">
        <f t="shared" si="56"/>
        <v>6870.34</v>
      </c>
      <c r="L151" s="103"/>
      <c r="M151" s="150">
        <f>F151</f>
        <v>8591.1299999999992</v>
      </c>
      <c r="N151" s="100"/>
      <c r="O151" s="101">
        <v>41437</v>
      </c>
      <c r="P151" s="102">
        <v>41437</v>
      </c>
      <c r="Q151" s="103"/>
      <c r="R151" s="104"/>
      <c r="S151" s="104">
        <f>K151</f>
        <v>6870.34</v>
      </c>
      <c r="T151" s="105"/>
      <c r="U151" s="109">
        <f t="shared" ref="U151:U161" si="60">J151*0.5</f>
        <v>429.56</v>
      </c>
      <c r="V151" s="104">
        <v>429.55</v>
      </c>
      <c r="W151" s="106"/>
      <c r="X151" s="106"/>
      <c r="Y151" s="106"/>
      <c r="Z151" s="107"/>
      <c r="AA151" s="136">
        <f t="shared" si="59"/>
        <v>859.11</v>
      </c>
      <c r="AB151" s="196">
        <f t="shared" si="52"/>
        <v>859.11</v>
      </c>
      <c r="AC151" s="185">
        <f t="shared" si="53"/>
        <v>0</v>
      </c>
      <c r="AD151" s="185">
        <f t="shared" si="54"/>
        <v>0</v>
      </c>
    </row>
    <row r="152" spans="1:30" ht="31.5" x14ac:dyDescent="0.25">
      <c r="A152" s="48" t="s">
        <v>213</v>
      </c>
      <c r="B152" s="49" t="s">
        <v>107</v>
      </c>
      <c r="C152" s="144" t="s">
        <v>288</v>
      </c>
      <c r="D152" s="181">
        <v>4.76</v>
      </c>
      <c r="E152" s="145">
        <v>4309.76</v>
      </c>
      <c r="F152" s="145">
        <f t="shared" si="47"/>
        <v>20514.46</v>
      </c>
      <c r="G152" s="146">
        <f t="shared" si="57"/>
        <v>2057.58</v>
      </c>
      <c r="H152" s="147">
        <v>0</v>
      </c>
      <c r="I152" s="219">
        <f t="shared" si="55"/>
        <v>2057.58</v>
      </c>
      <c r="J152" s="215">
        <f t="shared" si="58"/>
        <v>2051.4499999999998</v>
      </c>
      <c r="K152" s="229">
        <f t="shared" si="56"/>
        <v>16405.43</v>
      </c>
      <c r="L152" s="103"/>
      <c r="M152" s="150">
        <f>F152</f>
        <v>20514.46</v>
      </c>
      <c r="N152" s="100"/>
      <c r="O152" s="101">
        <v>41438</v>
      </c>
      <c r="P152" s="102">
        <v>41439</v>
      </c>
      <c r="Q152" s="103"/>
      <c r="R152" s="104"/>
      <c r="S152" s="104">
        <f>K152</f>
        <v>16405.43</v>
      </c>
      <c r="T152" s="105"/>
      <c r="U152" s="109">
        <f t="shared" si="60"/>
        <v>1025.73</v>
      </c>
      <c r="V152" s="104">
        <v>1025.72</v>
      </c>
      <c r="W152" s="106"/>
      <c r="X152" s="106"/>
      <c r="Y152" s="106"/>
      <c r="Z152" s="107"/>
      <c r="AA152" s="136">
        <f t="shared" si="59"/>
        <v>2051.4499999999998</v>
      </c>
      <c r="AB152" s="196">
        <f t="shared" si="52"/>
        <v>2051.4499999999998</v>
      </c>
      <c r="AC152" s="185">
        <f t="shared" si="53"/>
        <v>0</v>
      </c>
      <c r="AD152" s="185">
        <f t="shared" si="54"/>
        <v>0</v>
      </c>
    </row>
    <row r="153" spans="1:30" ht="31.5" x14ac:dyDescent="0.25">
      <c r="A153" s="48" t="s">
        <v>214</v>
      </c>
      <c r="B153" s="49" t="s">
        <v>109</v>
      </c>
      <c r="C153" s="144" t="s">
        <v>290</v>
      </c>
      <c r="D153" s="163">
        <v>66.239999999999995</v>
      </c>
      <c r="E153" s="145">
        <v>105.1</v>
      </c>
      <c r="F153" s="145">
        <f t="shared" si="47"/>
        <v>6961.82</v>
      </c>
      <c r="G153" s="146">
        <f t="shared" si="57"/>
        <v>698.26</v>
      </c>
      <c r="H153" s="147">
        <v>0</v>
      </c>
      <c r="I153" s="219">
        <f t="shared" si="55"/>
        <v>698.26</v>
      </c>
      <c r="J153" s="215">
        <f t="shared" si="58"/>
        <v>696.18</v>
      </c>
      <c r="K153" s="229">
        <f t="shared" si="56"/>
        <v>5567.38</v>
      </c>
      <c r="L153" s="103"/>
      <c r="M153" s="99"/>
      <c r="N153" s="149">
        <f t="shared" ref="N153:N161" si="61">F153</f>
        <v>6961.82</v>
      </c>
      <c r="O153" s="101">
        <v>41448</v>
      </c>
      <c r="P153" s="102">
        <v>41448</v>
      </c>
      <c r="Q153" s="103"/>
      <c r="R153" s="104"/>
      <c r="S153" s="104"/>
      <c r="T153" s="105">
        <f t="shared" ref="T153:T161" si="62">K153</f>
        <v>5567.38</v>
      </c>
      <c r="U153" s="109">
        <f t="shared" si="60"/>
        <v>348.09</v>
      </c>
      <c r="V153" s="104">
        <v>348.09</v>
      </c>
      <c r="W153" s="106"/>
      <c r="X153" s="106"/>
      <c r="Y153" s="106"/>
      <c r="Z153" s="107"/>
      <c r="AA153" s="136">
        <f t="shared" si="59"/>
        <v>696.18</v>
      </c>
      <c r="AB153" s="196">
        <f t="shared" si="52"/>
        <v>696.18</v>
      </c>
      <c r="AC153" s="185">
        <f t="shared" si="53"/>
        <v>0</v>
      </c>
      <c r="AD153" s="185">
        <f t="shared" si="54"/>
        <v>0</v>
      </c>
    </row>
    <row r="154" spans="1:30" ht="31.5" x14ac:dyDescent="0.25">
      <c r="A154" s="48" t="s">
        <v>215</v>
      </c>
      <c r="B154" s="49" t="s">
        <v>111</v>
      </c>
      <c r="C154" s="144" t="s">
        <v>290</v>
      </c>
      <c r="D154" s="163">
        <v>66.239999999999995</v>
      </c>
      <c r="E154" s="145">
        <v>1436.37</v>
      </c>
      <c r="F154" s="145">
        <f t="shared" si="47"/>
        <v>95145.15</v>
      </c>
      <c r="G154" s="146">
        <f t="shared" si="57"/>
        <v>9542.9500000000007</v>
      </c>
      <c r="H154" s="147">
        <v>0</v>
      </c>
      <c r="I154" s="219">
        <f t="shared" si="55"/>
        <v>9542.9500000000007</v>
      </c>
      <c r="J154" s="215">
        <f t="shared" si="58"/>
        <v>9514.52</v>
      </c>
      <c r="K154" s="229">
        <f t="shared" si="56"/>
        <v>76087.679999999993</v>
      </c>
      <c r="L154" s="103"/>
      <c r="M154" s="99"/>
      <c r="N154" s="149">
        <f t="shared" si="61"/>
        <v>95145.15</v>
      </c>
      <c r="O154" s="101">
        <v>41448</v>
      </c>
      <c r="P154" s="102">
        <v>41448</v>
      </c>
      <c r="Q154" s="103"/>
      <c r="R154" s="104"/>
      <c r="S154" s="104"/>
      <c r="T154" s="105">
        <f t="shared" si="62"/>
        <v>76087.679999999993</v>
      </c>
      <c r="U154" s="109">
        <f t="shared" si="60"/>
        <v>4757.26</v>
      </c>
      <c r="V154" s="104">
        <v>4757.26</v>
      </c>
      <c r="W154" s="106"/>
      <c r="X154" s="106"/>
      <c r="Y154" s="106"/>
      <c r="Z154" s="107"/>
      <c r="AA154" s="136">
        <f t="shared" si="59"/>
        <v>9514.52</v>
      </c>
      <c r="AB154" s="196">
        <f t="shared" si="52"/>
        <v>9514.52</v>
      </c>
      <c r="AC154" s="185">
        <f t="shared" si="53"/>
        <v>0</v>
      </c>
      <c r="AD154" s="185">
        <f t="shared" si="54"/>
        <v>0</v>
      </c>
    </row>
    <row r="155" spans="1:30" ht="31.5" x14ac:dyDescent="0.25">
      <c r="A155" s="48" t="s">
        <v>216</v>
      </c>
      <c r="B155" s="49" t="s">
        <v>109</v>
      </c>
      <c r="C155" s="144" t="s">
        <v>290</v>
      </c>
      <c r="D155" s="163">
        <v>66.239999999999995</v>
      </c>
      <c r="E155" s="145">
        <v>105.1</v>
      </c>
      <c r="F155" s="145">
        <f t="shared" si="47"/>
        <v>6961.82</v>
      </c>
      <c r="G155" s="146">
        <f t="shared" si="57"/>
        <v>698.26</v>
      </c>
      <c r="H155" s="147">
        <v>0</v>
      </c>
      <c r="I155" s="219">
        <f t="shared" si="55"/>
        <v>698.26</v>
      </c>
      <c r="J155" s="215">
        <f t="shared" si="58"/>
        <v>696.18</v>
      </c>
      <c r="K155" s="229">
        <f t="shared" si="56"/>
        <v>5567.38</v>
      </c>
      <c r="L155" s="103"/>
      <c r="M155" s="99"/>
      <c r="N155" s="149">
        <f t="shared" si="61"/>
        <v>6961.82</v>
      </c>
      <c r="O155" s="101">
        <v>41449</v>
      </c>
      <c r="P155" s="102">
        <v>41449</v>
      </c>
      <c r="Q155" s="103"/>
      <c r="R155" s="104"/>
      <c r="S155" s="104"/>
      <c r="T155" s="105">
        <f t="shared" si="62"/>
        <v>5567.38</v>
      </c>
      <c r="U155" s="109">
        <f t="shared" si="60"/>
        <v>348.09</v>
      </c>
      <c r="V155" s="104">
        <v>348.09</v>
      </c>
      <c r="W155" s="106"/>
      <c r="X155" s="106"/>
      <c r="Y155" s="106"/>
      <c r="Z155" s="107"/>
      <c r="AA155" s="136">
        <f t="shared" si="59"/>
        <v>696.18</v>
      </c>
      <c r="AB155" s="196">
        <f t="shared" si="52"/>
        <v>696.18</v>
      </c>
      <c r="AC155" s="185">
        <f t="shared" si="53"/>
        <v>0</v>
      </c>
      <c r="AD155" s="185">
        <f t="shared" si="54"/>
        <v>0</v>
      </c>
    </row>
    <row r="156" spans="1:30" ht="31.5" x14ac:dyDescent="0.25">
      <c r="A156" s="48" t="s">
        <v>217</v>
      </c>
      <c r="B156" s="49" t="s">
        <v>114</v>
      </c>
      <c r="C156" s="144" t="s">
        <v>290</v>
      </c>
      <c r="D156" s="163">
        <v>66.239999999999995</v>
      </c>
      <c r="E156" s="145">
        <v>68.680000000000007</v>
      </c>
      <c r="F156" s="145">
        <f t="shared" si="47"/>
        <v>4549.3599999999997</v>
      </c>
      <c r="G156" s="146">
        <f t="shared" si="57"/>
        <v>456.3</v>
      </c>
      <c r="H156" s="147">
        <v>0</v>
      </c>
      <c r="I156" s="219">
        <f t="shared" si="55"/>
        <v>456.3</v>
      </c>
      <c r="J156" s="215">
        <f t="shared" si="58"/>
        <v>454.94</v>
      </c>
      <c r="K156" s="229">
        <f t="shared" si="56"/>
        <v>3638.12</v>
      </c>
      <c r="L156" s="103"/>
      <c r="M156" s="99"/>
      <c r="N156" s="149">
        <f t="shared" si="61"/>
        <v>4549.3599999999997</v>
      </c>
      <c r="O156" s="101">
        <v>41449</v>
      </c>
      <c r="P156" s="102">
        <v>41449</v>
      </c>
      <c r="Q156" s="103"/>
      <c r="R156" s="104"/>
      <c r="S156" s="104"/>
      <c r="T156" s="105">
        <f t="shared" si="62"/>
        <v>3638.12</v>
      </c>
      <c r="U156" s="109">
        <f t="shared" si="60"/>
        <v>227.47</v>
      </c>
      <c r="V156" s="104">
        <v>227.47</v>
      </c>
      <c r="W156" s="106"/>
      <c r="X156" s="106"/>
      <c r="Y156" s="106"/>
      <c r="Z156" s="107"/>
      <c r="AA156" s="136">
        <f t="shared" si="59"/>
        <v>454.94</v>
      </c>
      <c r="AB156" s="196">
        <f t="shared" si="52"/>
        <v>454.94</v>
      </c>
      <c r="AC156" s="185">
        <f t="shared" si="53"/>
        <v>0</v>
      </c>
      <c r="AD156" s="185">
        <f t="shared" si="54"/>
        <v>0</v>
      </c>
    </row>
    <row r="157" spans="1:30" ht="31.5" x14ac:dyDescent="0.25">
      <c r="A157" s="48" t="s">
        <v>218</v>
      </c>
      <c r="B157" s="49" t="s">
        <v>116</v>
      </c>
      <c r="C157" s="144" t="s">
        <v>290</v>
      </c>
      <c r="D157" s="163">
        <v>66.239999999999995</v>
      </c>
      <c r="E157" s="145">
        <v>1162.1199999999999</v>
      </c>
      <c r="F157" s="145">
        <f t="shared" si="47"/>
        <v>76978.83</v>
      </c>
      <c r="G157" s="146">
        <f t="shared" si="57"/>
        <v>7720.89</v>
      </c>
      <c r="H157" s="147">
        <v>0</v>
      </c>
      <c r="I157" s="219">
        <f t="shared" si="55"/>
        <v>7720.89</v>
      </c>
      <c r="J157" s="215">
        <f t="shared" si="58"/>
        <v>7697.88</v>
      </c>
      <c r="K157" s="229">
        <f t="shared" si="56"/>
        <v>61560.06</v>
      </c>
      <c r="L157" s="103"/>
      <c r="M157" s="99"/>
      <c r="N157" s="149">
        <f t="shared" si="61"/>
        <v>76978.83</v>
      </c>
      <c r="O157" s="101">
        <v>41450</v>
      </c>
      <c r="P157" s="102">
        <v>41452</v>
      </c>
      <c r="Q157" s="103"/>
      <c r="R157" s="104"/>
      <c r="S157" s="104"/>
      <c r="T157" s="105">
        <f t="shared" si="62"/>
        <v>61560.06</v>
      </c>
      <c r="U157" s="109">
        <f t="shared" si="60"/>
        <v>3848.94</v>
      </c>
      <c r="V157" s="104">
        <v>3848.94</v>
      </c>
      <c r="W157" s="106"/>
      <c r="X157" s="106"/>
      <c r="Y157" s="106"/>
      <c r="Z157" s="107"/>
      <c r="AA157" s="136">
        <f t="shared" si="59"/>
        <v>7697.88</v>
      </c>
      <c r="AB157" s="196">
        <f t="shared" si="52"/>
        <v>7697.88</v>
      </c>
      <c r="AC157" s="185">
        <f t="shared" si="53"/>
        <v>0</v>
      </c>
      <c r="AD157" s="185">
        <f t="shared" si="54"/>
        <v>0</v>
      </c>
    </row>
    <row r="158" spans="1:30" ht="31.5" x14ac:dyDescent="0.25">
      <c r="A158" s="48" t="s">
        <v>219</v>
      </c>
      <c r="B158" s="49" t="s">
        <v>118</v>
      </c>
      <c r="C158" s="144" t="s">
        <v>294</v>
      </c>
      <c r="D158" s="163">
        <v>47.61</v>
      </c>
      <c r="E158" s="145">
        <v>1160.32</v>
      </c>
      <c r="F158" s="145">
        <f t="shared" si="47"/>
        <v>55242.84</v>
      </c>
      <c r="G158" s="146">
        <f t="shared" si="57"/>
        <v>5540.79</v>
      </c>
      <c r="H158" s="147">
        <v>0</v>
      </c>
      <c r="I158" s="219">
        <f t="shared" si="55"/>
        <v>5540.79</v>
      </c>
      <c r="J158" s="215">
        <f t="shared" si="58"/>
        <v>5524.28</v>
      </c>
      <c r="K158" s="229">
        <f t="shared" si="56"/>
        <v>44177.77</v>
      </c>
      <c r="L158" s="103"/>
      <c r="M158" s="99"/>
      <c r="N158" s="149">
        <f t="shared" si="61"/>
        <v>55242.84</v>
      </c>
      <c r="O158" s="101">
        <v>41440</v>
      </c>
      <c r="P158" s="102">
        <v>41442</v>
      </c>
      <c r="Q158" s="103"/>
      <c r="R158" s="104"/>
      <c r="S158" s="104"/>
      <c r="T158" s="105">
        <f t="shared" si="62"/>
        <v>44177.77</v>
      </c>
      <c r="U158" s="109">
        <f t="shared" si="60"/>
        <v>2762.14</v>
      </c>
      <c r="V158" s="104">
        <v>2762.14</v>
      </c>
      <c r="W158" s="106"/>
      <c r="X158" s="106"/>
      <c r="Y158" s="106"/>
      <c r="Z158" s="107"/>
      <c r="AA158" s="136">
        <f t="shared" si="59"/>
        <v>5524.28</v>
      </c>
      <c r="AB158" s="196">
        <f t="shared" si="52"/>
        <v>5524.28</v>
      </c>
      <c r="AC158" s="185">
        <f t="shared" si="53"/>
        <v>0</v>
      </c>
      <c r="AD158" s="185">
        <f t="shared" si="54"/>
        <v>0</v>
      </c>
    </row>
    <row r="159" spans="1:30" ht="31.5" x14ac:dyDescent="0.25">
      <c r="A159" s="48" t="s">
        <v>220</v>
      </c>
      <c r="B159" s="49" t="s">
        <v>109</v>
      </c>
      <c r="C159" s="144" t="s">
        <v>294</v>
      </c>
      <c r="D159" s="163">
        <v>47.61</v>
      </c>
      <c r="E159" s="145">
        <v>79.31</v>
      </c>
      <c r="F159" s="145">
        <f t="shared" si="47"/>
        <v>3775.95</v>
      </c>
      <c r="G159" s="146">
        <f t="shared" si="57"/>
        <v>378.72</v>
      </c>
      <c r="H159" s="147">
        <v>0</v>
      </c>
      <c r="I159" s="219">
        <f t="shared" si="55"/>
        <v>378.72</v>
      </c>
      <c r="J159" s="215">
        <f t="shared" si="58"/>
        <v>377.6</v>
      </c>
      <c r="K159" s="229">
        <f t="shared" si="56"/>
        <v>3019.63</v>
      </c>
      <c r="L159" s="103"/>
      <c r="M159" s="99"/>
      <c r="N159" s="149">
        <f t="shared" si="61"/>
        <v>3775.95</v>
      </c>
      <c r="O159" s="101">
        <v>41442</v>
      </c>
      <c r="P159" s="102">
        <v>41443</v>
      </c>
      <c r="Q159" s="103"/>
      <c r="R159" s="104"/>
      <c r="S159" s="104"/>
      <c r="T159" s="105">
        <f t="shared" si="62"/>
        <v>3019.63</v>
      </c>
      <c r="U159" s="109">
        <f t="shared" si="60"/>
        <v>188.8</v>
      </c>
      <c r="V159" s="104">
        <v>188.8</v>
      </c>
      <c r="W159" s="106"/>
      <c r="X159" s="106"/>
      <c r="Y159" s="106"/>
      <c r="Z159" s="107"/>
      <c r="AA159" s="136">
        <f t="shared" si="59"/>
        <v>377.6</v>
      </c>
      <c r="AB159" s="196">
        <f t="shared" si="52"/>
        <v>377.6</v>
      </c>
      <c r="AC159" s="185">
        <f t="shared" si="53"/>
        <v>0</v>
      </c>
      <c r="AD159" s="185">
        <f t="shared" si="54"/>
        <v>0</v>
      </c>
    </row>
    <row r="160" spans="1:30" ht="31.5" x14ac:dyDescent="0.25">
      <c r="A160" s="48" t="s">
        <v>221</v>
      </c>
      <c r="B160" s="49" t="s">
        <v>122</v>
      </c>
      <c r="C160" s="144" t="s">
        <v>294</v>
      </c>
      <c r="D160" s="163">
        <v>47.61</v>
      </c>
      <c r="E160" s="145">
        <v>469.55</v>
      </c>
      <c r="F160" s="145">
        <f t="shared" si="47"/>
        <v>22355.279999999999</v>
      </c>
      <c r="G160" s="146">
        <f t="shared" si="57"/>
        <v>2242.21</v>
      </c>
      <c r="H160" s="147">
        <v>0</v>
      </c>
      <c r="I160" s="219">
        <f t="shared" si="55"/>
        <v>2242.21</v>
      </c>
      <c r="J160" s="215">
        <f t="shared" si="58"/>
        <v>2235.5300000000002</v>
      </c>
      <c r="K160" s="229">
        <f t="shared" si="56"/>
        <v>17877.54</v>
      </c>
      <c r="L160" s="103"/>
      <c r="M160" s="99"/>
      <c r="N160" s="149">
        <f t="shared" si="61"/>
        <v>22355.279999999999</v>
      </c>
      <c r="O160" s="101">
        <v>41443</v>
      </c>
      <c r="P160" s="102">
        <v>41444</v>
      </c>
      <c r="Q160" s="103"/>
      <c r="R160" s="104"/>
      <c r="S160" s="104"/>
      <c r="T160" s="105">
        <f t="shared" si="62"/>
        <v>17877.54</v>
      </c>
      <c r="U160" s="109">
        <f t="shared" si="60"/>
        <v>1117.77</v>
      </c>
      <c r="V160" s="104">
        <v>1117.76</v>
      </c>
      <c r="W160" s="106"/>
      <c r="X160" s="106"/>
      <c r="Y160" s="106"/>
      <c r="Z160" s="107"/>
      <c r="AA160" s="136">
        <f t="shared" si="59"/>
        <v>2235.5300000000002</v>
      </c>
      <c r="AB160" s="196">
        <f t="shared" si="52"/>
        <v>2235.5300000000002</v>
      </c>
      <c r="AC160" s="185">
        <f t="shared" si="53"/>
        <v>0</v>
      </c>
      <c r="AD160" s="185">
        <f t="shared" si="54"/>
        <v>0</v>
      </c>
    </row>
    <row r="161" spans="1:30" ht="63" x14ac:dyDescent="0.25">
      <c r="A161" s="48" t="s">
        <v>222</v>
      </c>
      <c r="B161" s="49" t="s">
        <v>124</v>
      </c>
      <c r="C161" s="144" t="s">
        <v>288</v>
      </c>
      <c r="D161" s="181">
        <v>57.13</v>
      </c>
      <c r="E161" s="145">
        <v>8134.97</v>
      </c>
      <c r="F161" s="145">
        <f t="shared" si="47"/>
        <v>464750.84</v>
      </c>
      <c r="G161" s="146">
        <f t="shared" si="57"/>
        <v>46613.97</v>
      </c>
      <c r="H161" s="147">
        <v>0</v>
      </c>
      <c r="I161" s="219">
        <f t="shared" si="55"/>
        <v>46613.97</v>
      </c>
      <c r="J161" s="215">
        <f t="shared" si="58"/>
        <v>46475.08</v>
      </c>
      <c r="K161" s="229">
        <f t="shared" si="56"/>
        <v>371661.79</v>
      </c>
      <c r="L161" s="103"/>
      <c r="M161" s="99"/>
      <c r="N161" s="149">
        <f t="shared" si="61"/>
        <v>464750.84</v>
      </c>
      <c r="O161" s="101">
        <v>41445</v>
      </c>
      <c r="P161" s="102">
        <v>41447</v>
      </c>
      <c r="Q161" s="103"/>
      <c r="R161" s="104"/>
      <c r="S161" s="104"/>
      <c r="T161" s="105">
        <f t="shared" si="62"/>
        <v>371661.79</v>
      </c>
      <c r="U161" s="109">
        <f t="shared" si="60"/>
        <v>23237.54</v>
      </c>
      <c r="V161" s="104">
        <v>23237.54</v>
      </c>
      <c r="W161" s="106"/>
      <c r="X161" s="106"/>
      <c r="Y161" s="106"/>
      <c r="Z161" s="107"/>
      <c r="AA161" s="136">
        <f t="shared" si="59"/>
        <v>46475.08</v>
      </c>
      <c r="AB161" s="196">
        <f t="shared" si="52"/>
        <v>46475.08</v>
      </c>
      <c r="AC161" s="185">
        <f t="shared" si="53"/>
        <v>0</v>
      </c>
      <c r="AD161" s="185">
        <f t="shared" si="54"/>
        <v>0</v>
      </c>
    </row>
    <row r="162" spans="1:30" s="80" customFormat="1" x14ac:dyDescent="0.25">
      <c r="A162" s="46" t="s">
        <v>223</v>
      </c>
      <c r="B162" s="47" t="s">
        <v>224</v>
      </c>
      <c r="C162" s="24"/>
      <c r="D162" s="162"/>
      <c r="E162" s="25"/>
      <c r="F162" s="25"/>
      <c r="G162" s="26">
        <f t="shared" si="57"/>
        <v>0</v>
      </c>
      <c r="H162" s="27">
        <v>0</v>
      </c>
      <c r="I162" s="220"/>
      <c r="J162" s="229">
        <f t="shared" si="58"/>
        <v>0</v>
      </c>
      <c r="K162" s="229">
        <f t="shared" si="56"/>
        <v>0</v>
      </c>
      <c r="L162" s="93"/>
      <c r="M162" s="90"/>
      <c r="N162" s="98"/>
      <c r="O162" s="91"/>
      <c r="P162" s="92"/>
      <c r="Q162" s="93"/>
      <c r="R162" s="29"/>
      <c r="S162" s="29"/>
      <c r="T162" s="94"/>
      <c r="U162" s="109"/>
      <c r="V162" s="104"/>
      <c r="W162" s="106"/>
      <c r="X162" s="106"/>
      <c r="Y162" s="106"/>
      <c r="Z162" s="107"/>
      <c r="AA162" s="136"/>
      <c r="AB162" s="196">
        <f t="shared" si="52"/>
        <v>0</v>
      </c>
      <c r="AC162" s="185">
        <f t="shared" si="53"/>
        <v>0</v>
      </c>
      <c r="AD162" s="185">
        <f t="shared" si="54"/>
        <v>0</v>
      </c>
    </row>
    <row r="163" spans="1:30" ht="31.5" x14ac:dyDescent="0.25">
      <c r="A163" s="48" t="s">
        <v>225</v>
      </c>
      <c r="B163" s="49" t="s">
        <v>105</v>
      </c>
      <c r="C163" s="144" t="s">
        <v>288</v>
      </c>
      <c r="D163" s="181">
        <v>2.12</v>
      </c>
      <c r="E163" s="145">
        <v>1804.86</v>
      </c>
      <c r="F163" s="145">
        <f t="shared" si="47"/>
        <v>3826.3</v>
      </c>
      <c r="G163" s="146">
        <f t="shared" si="57"/>
        <v>383.77</v>
      </c>
      <c r="H163" s="147">
        <v>0</v>
      </c>
      <c r="I163" s="219">
        <f t="shared" si="55"/>
        <v>383.77</v>
      </c>
      <c r="J163" s="215">
        <f t="shared" si="58"/>
        <v>382.63</v>
      </c>
      <c r="K163" s="229">
        <f t="shared" si="56"/>
        <v>3059.9</v>
      </c>
      <c r="L163" s="103"/>
      <c r="M163" s="99"/>
      <c r="N163" s="149">
        <f t="shared" ref="N163:N173" si="63">F163</f>
        <v>3826.3</v>
      </c>
      <c r="O163" s="101">
        <v>41443</v>
      </c>
      <c r="P163" s="102">
        <v>41443</v>
      </c>
      <c r="Q163" s="103"/>
      <c r="R163" s="104"/>
      <c r="S163" s="104"/>
      <c r="T163" s="105">
        <f t="shared" ref="T163:T173" si="64">K163</f>
        <v>3059.9</v>
      </c>
      <c r="U163" s="109">
        <f t="shared" ref="U163:U173" si="65">J163*0.5</f>
        <v>191.32</v>
      </c>
      <c r="V163" s="104">
        <v>191.31</v>
      </c>
      <c r="W163" s="106"/>
      <c r="X163" s="106"/>
      <c r="Y163" s="106"/>
      <c r="Z163" s="107"/>
      <c r="AA163" s="136">
        <f t="shared" si="59"/>
        <v>382.63</v>
      </c>
      <c r="AB163" s="196">
        <f t="shared" si="52"/>
        <v>382.63</v>
      </c>
      <c r="AC163" s="185">
        <f t="shared" si="53"/>
        <v>0</v>
      </c>
      <c r="AD163" s="185">
        <f t="shared" si="54"/>
        <v>0</v>
      </c>
    </row>
    <row r="164" spans="1:30" ht="31.5" x14ac:dyDescent="0.25">
      <c r="A164" s="48" t="s">
        <v>226</v>
      </c>
      <c r="B164" s="49" t="s">
        <v>107</v>
      </c>
      <c r="C164" s="144" t="s">
        <v>288</v>
      </c>
      <c r="D164" s="181">
        <v>2.12</v>
      </c>
      <c r="E164" s="145">
        <v>4309.76</v>
      </c>
      <c r="F164" s="145">
        <f t="shared" si="47"/>
        <v>9136.69</v>
      </c>
      <c r="G164" s="146">
        <f t="shared" si="57"/>
        <v>916.4</v>
      </c>
      <c r="H164" s="147">
        <v>0</v>
      </c>
      <c r="I164" s="219">
        <f t="shared" si="55"/>
        <v>916.4</v>
      </c>
      <c r="J164" s="215">
        <f t="shared" si="58"/>
        <v>913.67</v>
      </c>
      <c r="K164" s="229">
        <f t="shared" si="56"/>
        <v>7306.62</v>
      </c>
      <c r="L164" s="103"/>
      <c r="M164" s="99"/>
      <c r="N164" s="149">
        <f t="shared" si="63"/>
        <v>9136.69</v>
      </c>
      <c r="O164" s="101">
        <v>41443</v>
      </c>
      <c r="P164" s="102">
        <v>41444</v>
      </c>
      <c r="Q164" s="103"/>
      <c r="R164" s="104"/>
      <c r="S164" s="104"/>
      <c r="T164" s="105">
        <f t="shared" si="64"/>
        <v>7306.62</v>
      </c>
      <c r="U164" s="109">
        <f t="shared" si="65"/>
        <v>456.84</v>
      </c>
      <c r="V164" s="104">
        <v>456.83</v>
      </c>
      <c r="W164" s="106"/>
      <c r="X164" s="106"/>
      <c r="Y164" s="106"/>
      <c r="Z164" s="107"/>
      <c r="AA164" s="136">
        <f t="shared" si="59"/>
        <v>913.67</v>
      </c>
      <c r="AB164" s="196">
        <f t="shared" si="52"/>
        <v>913.67</v>
      </c>
      <c r="AC164" s="185">
        <f t="shared" si="53"/>
        <v>0</v>
      </c>
      <c r="AD164" s="185">
        <f t="shared" si="54"/>
        <v>0</v>
      </c>
    </row>
    <row r="165" spans="1:30" ht="31.5" x14ac:dyDescent="0.25">
      <c r="A165" s="48" t="s">
        <v>227</v>
      </c>
      <c r="B165" s="49" t="s">
        <v>109</v>
      </c>
      <c r="C165" s="144" t="s">
        <v>290</v>
      </c>
      <c r="D165" s="163">
        <v>34.68</v>
      </c>
      <c r="E165" s="145">
        <v>105.1</v>
      </c>
      <c r="F165" s="145">
        <f t="shared" si="47"/>
        <v>3644.87</v>
      </c>
      <c r="G165" s="146">
        <f t="shared" si="57"/>
        <v>365.58</v>
      </c>
      <c r="H165" s="147">
        <v>0</v>
      </c>
      <c r="I165" s="219">
        <f t="shared" si="55"/>
        <v>365.58</v>
      </c>
      <c r="J165" s="215">
        <f t="shared" si="58"/>
        <v>364.49</v>
      </c>
      <c r="K165" s="229">
        <f t="shared" si="56"/>
        <v>2914.8</v>
      </c>
      <c r="L165" s="103"/>
      <c r="M165" s="99"/>
      <c r="N165" s="149">
        <f t="shared" si="63"/>
        <v>3644.87</v>
      </c>
      <c r="O165" s="101">
        <v>41451</v>
      </c>
      <c r="P165" s="102">
        <v>41451</v>
      </c>
      <c r="Q165" s="103"/>
      <c r="R165" s="104"/>
      <c r="S165" s="104"/>
      <c r="T165" s="105">
        <f t="shared" si="64"/>
        <v>2914.8</v>
      </c>
      <c r="U165" s="109">
        <f t="shared" si="65"/>
        <v>182.25</v>
      </c>
      <c r="V165" s="104">
        <v>182.24</v>
      </c>
      <c r="W165" s="106"/>
      <c r="X165" s="106"/>
      <c r="Y165" s="106"/>
      <c r="Z165" s="107"/>
      <c r="AA165" s="136">
        <f t="shared" si="59"/>
        <v>364.49</v>
      </c>
      <c r="AB165" s="196">
        <f t="shared" si="52"/>
        <v>364.49</v>
      </c>
      <c r="AC165" s="185">
        <f t="shared" si="53"/>
        <v>0</v>
      </c>
      <c r="AD165" s="185">
        <f t="shared" si="54"/>
        <v>0</v>
      </c>
    </row>
    <row r="166" spans="1:30" ht="31.5" x14ac:dyDescent="0.25">
      <c r="A166" s="48" t="s">
        <v>228</v>
      </c>
      <c r="B166" s="49" t="s">
        <v>111</v>
      </c>
      <c r="C166" s="144" t="s">
        <v>290</v>
      </c>
      <c r="D166" s="163">
        <v>34.68</v>
      </c>
      <c r="E166" s="145">
        <v>1436.37</v>
      </c>
      <c r="F166" s="145">
        <f t="shared" si="47"/>
        <v>49813.31</v>
      </c>
      <c r="G166" s="146">
        <f t="shared" si="57"/>
        <v>4996.22</v>
      </c>
      <c r="H166" s="147">
        <v>0</v>
      </c>
      <c r="I166" s="219">
        <f t="shared" si="55"/>
        <v>4996.22</v>
      </c>
      <c r="J166" s="215">
        <f t="shared" si="58"/>
        <v>4981.33</v>
      </c>
      <c r="K166" s="229">
        <f t="shared" si="56"/>
        <v>39835.760000000002</v>
      </c>
      <c r="L166" s="103"/>
      <c r="M166" s="99"/>
      <c r="N166" s="149">
        <f t="shared" si="63"/>
        <v>49813.31</v>
      </c>
      <c r="O166" s="101">
        <v>41451</v>
      </c>
      <c r="P166" s="102">
        <v>41451</v>
      </c>
      <c r="Q166" s="103"/>
      <c r="R166" s="104"/>
      <c r="S166" s="104"/>
      <c r="T166" s="105">
        <f t="shared" si="64"/>
        <v>39835.760000000002</v>
      </c>
      <c r="U166" s="109">
        <f t="shared" si="65"/>
        <v>2490.67</v>
      </c>
      <c r="V166" s="104">
        <v>2490.66</v>
      </c>
      <c r="W166" s="106"/>
      <c r="X166" s="106"/>
      <c r="Y166" s="106"/>
      <c r="Z166" s="107"/>
      <c r="AA166" s="136">
        <f t="shared" si="59"/>
        <v>4981.33</v>
      </c>
      <c r="AB166" s="196">
        <f t="shared" si="52"/>
        <v>4981.33</v>
      </c>
      <c r="AC166" s="185">
        <f t="shared" si="53"/>
        <v>0</v>
      </c>
      <c r="AD166" s="185">
        <f t="shared" si="54"/>
        <v>0</v>
      </c>
    </row>
    <row r="167" spans="1:30" ht="31.5" x14ac:dyDescent="0.25">
      <c r="A167" s="48" t="s">
        <v>229</v>
      </c>
      <c r="B167" s="49" t="s">
        <v>109</v>
      </c>
      <c r="C167" s="144" t="s">
        <v>290</v>
      </c>
      <c r="D167" s="163">
        <v>34.68</v>
      </c>
      <c r="E167" s="145">
        <v>105.1</v>
      </c>
      <c r="F167" s="145">
        <f t="shared" si="47"/>
        <v>3644.87</v>
      </c>
      <c r="G167" s="146">
        <f t="shared" si="57"/>
        <v>365.58</v>
      </c>
      <c r="H167" s="147">
        <v>0</v>
      </c>
      <c r="I167" s="219">
        <f t="shared" si="55"/>
        <v>365.58</v>
      </c>
      <c r="J167" s="215">
        <f t="shared" si="58"/>
        <v>364.49</v>
      </c>
      <c r="K167" s="229">
        <f t="shared" si="56"/>
        <v>2914.8</v>
      </c>
      <c r="L167" s="103"/>
      <c r="M167" s="99"/>
      <c r="N167" s="149">
        <f t="shared" si="63"/>
        <v>3644.87</v>
      </c>
      <c r="O167" s="101">
        <v>41452</v>
      </c>
      <c r="P167" s="102">
        <v>41452</v>
      </c>
      <c r="Q167" s="103"/>
      <c r="R167" s="104"/>
      <c r="S167" s="104"/>
      <c r="T167" s="105">
        <f t="shared" si="64"/>
        <v>2914.8</v>
      </c>
      <c r="U167" s="109">
        <f t="shared" si="65"/>
        <v>182.25</v>
      </c>
      <c r="V167" s="104">
        <v>182.24</v>
      </c>
      <c r="W167" s="106"/>
      <c r="X167" s="106"/>
      <c r="Y167" s="106"/>
      <c r="Z167" s="107"/>
      <c r="AA167" s="136">
        <f t="shared" si="59"/>
        <v>364.49</v>
      </c>
      <c r="AB167" s="196">
        <f t="shared" si="52"/>
        <v>364.49</v>
      </c>
      <c r="AC167" s="185">
        <f t="shared" si="53"/>
        <v>0</v>
      </c>
      <c r="AD167" s="185">
        <f t="shared" si="54"/>
        <v>0</v>
      </c>
    </row>
    <row r="168" spans="1:30" ht="31.5" x14ac:dyDescent="0.25">
      <c r="A168" s="48" t="s">
        <v>230</v>
      </c>
      <c r="B168" s="49" t="s">
        <v>114</v>
      </c>
      <c r="C168" s="144" t="s">
        <v>290</v>
      </c>
      <c r="D168" s="163">
        <v>34.68</v>
      </c>
      <c r="E168" s="145">
        <v>68.680000000000007</v>
      </c>
      <c r="F168" s="145">
        <f t="shared" si="47"/>
        <v>2381.8200000000002</v>
      </c>
      <c r="G168" s="146">
        <f t="shared" si="57"/>
        <v>238.89</v>
      </c>
      <c r="H168" s="147">
        <v>0</v>
      </c>
      <c r="I168" s="219">
        <f t="shared" si="55"/>
        <v>238.89</v>
      </c>
      <c r="J168" s="215">
        <f t="shared" si="58"/>
        <v>238.18</v>
      </c>
      <c r="K168" s="229">
        <f t="shared" si="56"/>
        <v>1904.75</v>
      </c>
      <c r="L168" s="103"/>
      <c r="M168" s="99"/>
      <c r="N168" s="149">
        <f t="shared" si="63"/>
        <v>2381.8200000000002</v>
      </c>
      <c r="O168" s="101">
        <v>41452</v>
      </c>
      <c r="P168" s="102">
        <v>41453</v>
      </c>
      <c r="Q168" s="103"/>
      <c r="R168" s="104"/>
      <c r="S168" s="104"/>
      <c r="T168" s="105">
        <f t="shared" si="64"/>
        <v>1904.75</v>
      </c>
      <c r="U168" s="109">
        <f t="shared" si="65"/>
        <v>119.09</v>
      </c>
      <c r="V168" s="104">
        <v>119.09</v>
      </c>
      <c r="W168" s="106"/>
      <c r="X168" s="106"/>
      <c r="Y168" s="106"/>
      <c r="Z168" s="107"/>
      <c r="AA168" s="136">
        <f t="shared" si="59"/>
        <v>238.18</v>
      </c>
      <c r="AB168" s="196">
        <f t="shared" si="52"/>
        <v>238.18</v>
      </c>
      <c r="AC168" s="185">
        <f t="shared" si="53"/>
        <v>0</v>
      </c>
      <c r="AD168" s="185">
        <f t="shared" si="54"/>
        <v>0</v>
      </c>
    </row>
    <row r="169" spans="1:30" ht="31.5" x14ac:dyDescent="0.25">
      <c r="A169" s="48" t="s">
        <v>231</v>
      </c>
      <c r="B169" s="49" t="s">
        <v>116</v>
      </c>
      <c r="C169" s="144" t="s">
        <v>290</v>
      </c>
      <c r="D169" s="163">
        <v>34.68</v>
      </c>
      <c r="E169" s="145">
        <v>1162.1199999999999</v>
      </c>
      <c r="F169" s="145">
        <f t="shared" si="47"/>
        <v>40302.32</v>
      </c>
      <c r="G169" s="146">
        <f t="shared" si="57"/>
        <v>4042.28</v>
      </c>
      <c r="H169" s="147">
        <v>0</v>
      </c>
      <c r="I169" s="219">
        <f t="shared" si="55"/>
        <v>4042.28</v>
      </c>
      <c r="J169" s="215">
        <f t="shared" si="58"/>
        <v>4030.23</v>
      </c>
      <c r="K169" s="229">
        <f t="shared" si="56"/>
        <v>32229.81</v>
      </c>
      <c r="L169" s="103"/>
      <c r="M169" s="99"/>
      <c r="N169" s="149">
        <f t="shared" si="63"/>
        <v>40302.32</v>
      </c>
      <c r="O169" s="101">
        <v>41454</v>
      </c>
      <c r="P169" s="102">
        <v>41456</v>
      </c>
      <c r="Q169" s="103"/>
      <c r="R169" s="104"/>
      <c r="S169" s="104"/>
      <c r="T169" s="105">
        <f t="shared" si="64"/>
        <v>32229.81</v>
      </c>
      <c r="U169" s="109">
        <f t="shared" si="65"/>
        <v>2015.12</v>
      </c>
      <c r="V169" s="104">
        <v>2015.11</v>
      </c>
      <c r="W169" s="106"/>
      <c r="X169" s="106"/>
      <c r="Y169" s="106"/>
      <c r="Z169" s="107"/>
      <c r="AA169" s="136">
        <f t="shared" si="59"/>
        <v>4030.23</v>
      </c>
      <c r="AB169" s="196">
        <f t="shared" si="52"/>
        <v>4030.23</v>
      </c>
      <c r="AC169" s="185">
        <f t="shared" si="53"/>
        <v>0</v>
      </c>
      <c r="AD169" s="185">
        <f t="shared" si="54"/>
        <v>0</v>
      </c>
    </row>
    <row r="170" spans="1:30" ht="31.5" x14ac:dyDescent="0.25">
      <c r="A170" s="48" t="s">
        <v>232</v>
      </c>
      <c r="B170" s="49" t="s">
        <v>118</v>
      </c>
      <c r="C170" s="144" t="s">
        <v>290</v>
      </c>
      <c r="D170" s="181">
        <v>21.22</v>
      </c>
      <c r="E170" s="145">
        <v>1160.32</v>
      </c>
      <c r="F170" s="145">
        <f t="shared" si="47"/>
        <v>24621.99</v>
      </c>
      <c r="G170" s="146">
        <f t="shared" si="57"/>
        <v>2469.56</v>
      </c>
      <c r="H170" s="147">
        <v>0</v>
      </c>
      <c r="I170" s="219">
        <f t="shared" si="55"/>
        <v>2469.56</v>
      </c>
      <c r="J170" s="215">
        <f t="shared" si="58"/>
        <v>2462.1999999999998</v>
      </c>
      <c r="K170" s="229">
        <f t="shared" si="56"/>
        <v>19690.23</v>
      </c>
      <c r="L170" s="103"/>
      <c r="M170" s="99"/>
      <c r="N170" s="149">
        <f t="shared" si="63"/>
        <v>24621.99</v>
      </c>
      <c r="O170" s="101">
        <v>41445</v>
      </c>
      <c r="P170" s="102">
        <v>41445</v>
      </c>
      <c r="Q170" s="103"/>
      <c r="R170" s="104"/>
      <c r="S170" s="104"/>
      <c r="T170" s="105">
        <f t="shared" si="64"/>
        <v>19690.23</v>
      </c>
      <c r="U170" s="109">
        <f t="shared" si="65"/>
        <v>1231.0999999999999</v>
      </c>
      <c r="V170" s="104">
        <v>1231.0999999999999</v>
      </c>
      <c r="W170" s="106"/>
      <c r="X170" s="106"/>
      <c r="Y170" s="106"/>
      <c r="Z170" s="107"/>
      <c r="AA170" s="136">
        <f t="shared" si="59"/>
        <v>2462.1999999999998</v>
      </c>
      <c r="AB170" s="196">
        <f t="shared" si="52"/>
        <v>2462.1999999999998</v>
      </c>
      <c r="AC170" s="185">
        <f t="shared" si="53"/>
        <v>0</v>
      </c>
      <c r="AD170" s="185">
        <f t="shared" si="54"/>
        <v>0</v>
      </c>
    </row>
    <row r="171" spans="1:30" ht="31.5" x14ac:dyDescent="0.25">
      <c r="A171" s="48" t="s">
        <v>233</v>
      </c>
      <c r="B171" s="49" t="s">
        <v>109</v>
      </c>
      <c r="C171" s="144" t="s">
        <v>290</v>
      </c>
      <c r="D171" s="181">
        <v>21.22</v>
      </c>
      <c r="E171" s="145">
        <v>79.31</v>
      </c>
      <c r="F171" s="145">
        <f t="shared" si="47"/>
        <v>1682.96</v>
      </c>
      <c r="G171" s="146">
        <f t="shared" si="57"/>
        <v>168.8</v>
      </c>
      <c r="H171" s="147">
        <v>0</v>
      </c>
      <c r="I171" s="219">
        <f t="shared" si="55"/>
        <v>168.8</v>
      </c>
      <c r="J171" s="215">
        <f t="shared" si="58"/>
        <v>168.3</v>
      </c>
      <c r="K171" s="229">
        <f t="shared" si="56"/>
        <v>1345.86</v>
      </c>
      <c r="L171" s="103"/>
      <c r="M171" s="99"/>
      <c r="N171" s="149">
        <f t="shared" si="63"/>
        <v>1682.96</v>
      </c>
      <c r="O171" s="101">
        <v>41446</v>
      </c>
      <c r="P171" s="102">
        <v>41446</v>
      </c>
      <c r="Q171" s="103"/>
      <c r="R171" s="104"/>
      <c r="S171" s="104"/>
      <c r="T171" s="105">
        <f t="shared" si="64"/>
        <v>1345.86</v>
      </c>
      <c r="U171" s="109">
        <f t="shared" si="65"/>
        <v>84.15</v>
      </c>
      <c r="V171" s="104">
        <v>84.15</v>
      </c>
      <c r="W171" s="106"/>
      <c r="X171" s="106"/>
      <c r="Y171" s="106"/>
      <c r="Z171" s="107"/>
      <c r="AA171" s="136">
        <f t="shared" si="59"/>
        <v>168.3</v>
      </c>
      <c r="AB171" s="196">
        <f t="shared" si="52"/>
        <v>168.3</v>
      </c>
      <c r="AC171" s="185">
        <f t="shared" si="53"/>
        <v>0</v>
      </c>
      <c r="AD171" s="185">
        <f t="shared" si="54"/>
        <v>0</v>
      </c>
    </row>
    <row r="172" spans="1:30" ht="31.5" x14ac:dyDescent="0.25">
      <c r="A172" s="48" t="s">
        <v>234</v>
      </c>
      <c r="B172" s="49" t="s">
        <v>122</v>
      </c>
      <c r="C172" s="144" t="s">
        <v>290</v>
      </c>
      <c r="D172" s="181">
        <v>21.22</v>
      </c>
      <c r="E172" s="145">
        <v>469.55</v>
      </c>
      <c r="F172" s="145">
        <f t="shared" si="47"/>
        <v>9963.85</v>
      </c>
      <c r="G172" s="146">
        <f t="shared" si="57"/>
        <v>999.36</v>
      </c>
      <c r="H172" s="147">
        <v>0</v>
      </c>
      <c r="I172" s="219">
        <f t="shared" si="55"/>
        <v>999.36</v>
      </c>
      <c r="J172" s="215">
        <f t="shared" si="58"/>
        <v>996.39</v>
      </c>
      <c r="K172" s="229">
        <f t="shared" si="56"/>
        <v>7968.1</v>
      </c>
      <c r="L172" s="103"/>
      <c r="M172" s="99"/>
      <c r="N172" s="149">
        <f t="shared" si="63"/>
        <v>9963.85</v>
      </c>
      <c r="O172" s="101">
        <v>41446</v>
      </c>
      <c r="P172" s="102">
        <v>41447</v>
      </c>
      <c r="Q172" s="103"/>
      <c r="R172" s="104"/>
      <c r="S172" s="104"/>
      <c r="T172" s="105">
        <f t="shared" si="64"/>
        <v>7968.1</v>
      </c>
      <c r="U172" s="109">
        <f t="shared" si="65"/>
        <v>498.2</v>
      </c>
      <c r="V172" s="104">
        <v>498.19</v>
      </c>
      <c r="W172" s="106"/>
      <c r="X172" s="106"/>
      <c r="Y172" s="106"/>
      <c r="Z172" s="107"/>
      <c r="AA172" s="136">
        <f t="shared" si="59"/>
        <v>996.39</v>
      </c>
      <c r="AB172" s="196">
        <f t="shared" si="52"/>
        <v>996.39</v>
      </c>
      <c r="AC172" s="185">
        <f t="shared" si="53"/>
        <v>0</v>
      </c>
      <c r="AD172" s="185">
        <f t="shared" si="54"/>
        <v>0</v>
      </c>
    </row>
    <row r="173" spans="1:30" ht="63" x14ac:dyDescent="0.25">
      <c r="A173" s="48" t="s">
        <v>235</v>
      </c>
      <c r="B173" s="49" t="s">
        <v>124</v>
      </c>
      <c r="C173" s="144" t="s">
        <v>288</v>
      </c>
      <c r="D173" s="181">
        <v>25.46</v>
      </c>
      <c r="E173" s="145">
        <v>8134.97</v>
      </c>
      <c r="F173" s="145">
        <f t="shared" si="47"/>
        <v>207116.34</v>
      </c>
      <c r="G173" s="146">
        <f t="shared" si="57"/>
        <v>20773.53</v>
      </c>
      <c r="H173" s="147">
        <v>0</v>
      </c>
      <c r="I173" s="219">
        <f t="shared" si="55"/>
        <v>20773.53</v>
      </c>
      <c r="J173" s="215">
        <f t="shared" si="58"/>
        <v>20711.63</v>
      </c>
      <c r="K173" s="229">
        <f t="shared" si="56"/>
        <v>165631.18</v>
      </c>
      <c r="L173" s="103"/>
      <c r="M173" s="99"/>
      <c r="N173" s="149">
        <f t="shared" si="63"/>
        <v>207116.34</v>
      </c>
      <c r="O173" s="101">
        <v>41448</v>
      </c>
      <c r="P173" s="102">
        <v>41450</v>
      </c>
      <c r="Q173" s="103"/>
      <c r="R173" s="104"/>
      <c r="S173" s="104"/>
      <c r="T173" s="105">
        <f t="shared" si="64"/>
        <v>165631.18</v>
      </c>
      <c r="U173" s="109">
        <f t="shared" si="65"/>
        <v>10355.82</v>
      </c>
      <c r="V173" s="104">
        <v>10355.81</v>
      </c>
      <c r="W173" s="106"/>
      <c r="X173" s="106"/>
      <c r="Y173" s="106"/>
      <c r="Z173" s="107"/>
      <c r="AA173" s="136">
        <f t="shared" si="59"/>
        <v>20711.63</v>
      </c>
      <c r="AB173" s="196">
        <f t="shared" si="52"/>
        <v>20711.63</v>
      </c>
      <c r="AC173" s="185">
        <f t="shared" si="53"/>
        <v>0</v>
      </c>
      <c r="AD173" s="185">
        <f t="shared" si="54"/>
        <v>0</v>
      </c>
    </row>
    <row r="174" spans="1:30" s="80" customFormat="1" x14ac:dyDescent="0.25">
      <c r="A174" s="46" t="s">
        <v>236</v>
      </c>
      <c r="B174" s="47" t="s">
        <v>237</v>
      </c>
      <c r="C174" s="24"/>
      <c r="D174" s="162"/>
      <c r="E174" s="25"/>
      <c r="F174" s="25"/>
      <c r="G174" s="26">
        <f t="shared" si="57"/>
        <v>0</v>
      </c>
      <c r="H174" s="27"/>
      <c r="I174" s="220"/>
      <c r="J174" s="229">
        <f t="shared" si="58"/>
        <v>0</v>
      </c>
      <c r="K174" s="229">
        <f t="shared" si="56"/>
        <v>0</v>
      </c>
      <c r="L174" s="93"/>
      <c r="M174" s="90"/>
      <c r="N174" s="98"/>
      <c r="O174" s="91"/>
      <c r="P174" s="92"/>
      <c r="Q174" s="93"/>
      <c r="R174" s="29"/>
      <c r="S174" s="29"/>
      <c r="T174" s="94"/>
      <c r="U174" s="109"/>
      <c r="V174" s="104"/>
      <c r="W174" s="106"/>
      <c r="X174" s="106"/>
      <c r="Y174" s="106"/>
      <c r="Z174" s="107"/>
      <c r="AA174" s="136"/>
      <c r="AB174" s="196">
        <f t="shared" si="52"/>
        <v>0</v>
      </c>
      <c r="AC174" s="185">
        <f t="shared" si="53"/>
        <v>0</v>
      </c>
      <c r="AD174" s="185">
        <f t="shared" si="54"/>
        <v>0</v>
      </c>
    </row>
    <row r="175" spans="1:30" ht="31.5" x14ac:dyDescent="0.25">
      <c r="A175" s="48" t="s">
        <v>238</v>
      </c>
      <c r="B175" s="49" t="s">
        <v>239</v>
      </c>
      <c r="C175" s="144" t="s">
        <v>288</v>
      </c>
      <c r="D175" s="181">
        <v>423.69</v>
      </c>
      <c r="E175" s="145">
        <v>1804.86</v>
      </c>
      <c r="F175" s="145">
        <f t="shared" si="47"/>
        <v>764701.13</v>
      </c>
      <c r="G175" s="146">
        <f t="shared" si="57"/>
        <v>76698.63</v>
      </c>
      <c r="H175" s="147">
        <v>0</v>
      </c>
      <c r="I175" s="219">
        <f t="shared" si="55"/>
        <v>76698.63</v>
      </c>
      <c r="J175" s="215">
        <f t="shared" si="58"/>
        <v>76470.11</v>
      </c>
      <c r="K175" s="229">
        <f t="shared" si="56"/>
        <v>611532.39</v>
      </c>
      <c r="L175" s="103"/>
      <c r="M175" s="150">
        <f>F175</f>
        <v>764701.13</v>
      </c>
      <c r="N175" s="100"/>
      <c r="O175" s="101">
        <v>41424</v>
      </c>
      <c r="P175" s="102">
        <v>41426</v>
      </c>
      <c r="Q175" s="103"/>
      <c r="R175" s="104"/>
      <c r="S175" s="104">
        <f>K175</f>
        <v>611532.39</v>
      </c>
      <c r="T175" s="105"/>
      <c r="U175" s="109">
        <f t="shared" ref="U175:U185" si="66">J175*0.5</f>
        <v>38235.06</v>
      </c>
      <c r="V175" s="104">
        <v>38235.050000000003</v>
      </c>
      <c r="W175" s="106"/>
      <c r="X175" s="106"/>
      <c r="Y175" s="106"/>
      <c r="Z175" s="107"/>
      <c r="AA175" s="136">
        <f t="shared" si="59"/>
        <v>76470.11</v>
      </c>
      <c r="AB175" s="196">
        <f t="shared" si="52"/>
        <v>76470.11</v>
      </c>
      <c r="AC175" s="185">
        <f t="shared" si="53"/>
        <v>0</v>
      </c>
      <c r="AD175" s="185">
        <f t="shared" si="54"/>
        <v>0</v>
      </c>
    </row>
    <row r="176" spans="1:30" ht="31.5" x14ac:dyDescent="0.25">
      <c r="A176" s="48" t="s">
        <v>240</v>
      </c>
      <c r="B176" s="49" t="s">
        <v>107</v>
      </c>
      <c r="C176" s="144" t="s">
        <v>288</v>
      </c>
      <c r="D176" s="181">
        <v>423.69</v>
      </c>
      <c r="E176" s="145">
        <v>4309.76</v>
      </c>
      <c r="F176" s="145">
        <f t="shared" si="47"/>
        <v>1826002.21</v>
      </c>
      <c r="G176" s="146">
        <f t="shared" si="57"/>
        <v>183145.9</v>
      </c>
      <c r="H176" s="147">
        <v>0</v>
      </c>
      <c r="I176" s="219">
        <f t="shared" si="55"/>
        <v>183145.9</v>
      </c>
      <c r="J176" s="215">
        <f t="shared" si="58"/>
        <v>182600.22</v>
      </c>
      <c r="K176" s="229">
        <f t="shared" si="56"/>
        <v>1460256.09</v>
      </c>
      <c r="L176" s="103"/>
      <c r="M176" s="150">
        <f>F176</f>
        <v>1826002.21</v>
      </c>
      <c r="N176" s="100"/>
      <c r="O176" s="101">
        <v>41426</v>
      </c>
      <c r="P176" s="102">
        <v>41428</v>
      </c>
      <c r="Q176" s="103"/>
      <c r="R176" s="104"/>
      <c r="S176" s="104">
        <f>K176</f>
        <v>1460256.09</v>
      </c>
      <c r="T176" s="105"/>
      <c r="U176" s="109">
        <f t="shared" si="66"/>
        <v>91300.11</v>
      </c>
      <c r="V176" s="104">
        <v>91300.11</v>
      </c>
      <c r="W176" s="106"/>
      <c r="X176" s="106"/>
      <c r="Y176" s="106"/>
      <c r="Z176" s="107"/>
      <c r="AA176" s="136">
        <f t="shared" si="59"/>
        <v>182600.22</v>
      </c>
      <c r="AB176" s="196">
        <f t="shared" ref="AB176:AB209" si="67">F176-I176-K176</f>
        <v>182600.22</v>
      </c>
      <c r="AC176" s="185">
        <f t="shared" ref="AC176:AC209" si="68">J176-AA176</f>
        <v>0</v>
      </c>
      <c r="AD176" s="185">
        <f t="shared" ref="AD176:AD207" si="69">J176-AA176</f>
        <v>0</v>
      </c>
    </row>
    <row r="177" spans="1:31" ht="31.5" x14ac:dyDescent="0.25">
      <c r="A177" s="48" t="s">
        <v>241</v>
      </c>
      <c r="B177" s="49" t="s">
        <v>109</v>
      </c>
      <c r="C177" s="144" t="s">
        <v>290</v>
      </c>
      <c r="D177" s="163">
        <v>1290.8</v>
      </c>
      <c r="E177" s="145">
        <v>105.1</v>
      </c>
      <c r="F177" s="145">
        <f t="shared" si="47"/>
        <v>135663.07999999999</v>
      </c>
      <c r="G177" s="146">
        <f t="shared" si="57"/>
        <v>13606.85</v>
      </c>
      <c r="H177" s="147">
        <v>0</v>
      </c>
      <c r="I177" s="219">
        <f t="shared" si="55"/>
        <v>13606.85</v>
      </c>
      <c r="J177" s="215">
        <f t="shared" si="58"/>
        <v>13566.31</v>
      </c>
      <c r="K177" s="229">
        <f t="shared" si="56"/>
        <v>108489.92</v>
      </c>
      <c r="L177" s="103"/>
      <c r="M177" s="150">
        <f>F177*0.5</f>
        <v>67831.539999999994</v>
      </c>
      <c r="N177" s="149">
        <f>F177*0.5</f>
        <v>67831.539999999994</v>
      </c>
      <c r="O177" s="101">
        <v>41436</v>
      </c>
      <c r="P177" s="102">
        <v>41467</v>
      </c>
      <c r="Q177" s="103"/>
      <c r="R177" s="104"/>
      <c r="S177" s="104">
        <f>K177*0.5</f>
        <v>54244.959999999999</v>
      </c>
      <c r="T177" s="105">
        <f>K177-S177</f>
        <v>54244.959999999999</v>
      </c>
      <c r="U177" s="109">
        <f t="shared" si="66"/>
        <v>6783.16</v>
      </c>
      <c r="V177" s="104">
        <v>6783.15</v>
      </c>
      <c r="W177" s="106"/>
      <c r="X177" s="106"/>
      <c r="Y177" s="106"/>
      <c r="Z177" s="107"/>
      <c r="AA177" s="136">
        <f t="shared" si="59"/>
        <v>13566.31</v>
      </c>
      <c r="AB177" s="196">
        <f t="shared" si="67"/>
        <v>13566.31</v>
      </c>
      <c r="AC177" s="185">
        <f t="shared" si="68"/>
        <v>0</v>
      </c>
      <c r="AD177" s="185">
        <f t="shared" si="69"/>
        <v>0</v>
      </c>
      <c r="AE177" s="75">
        <f>S177/(S177+T177)</f>
        <v>0.5</v>
      </c>
    </row>
    <row r="178" spans="1:31" ht="31.5" x14ac:dyDescent="0.25">
      <c r="A178" s="48" t="s">
        <v>242</v>
      </c>
      <c r="B178" s="49" t="s">
        <v>111</v>
      </c>
      <c r="C178" s="144" t="s">
        <v>290</v>
      </c>
      <c r="D178" s="163">
        <v>1290.8</v>
      </c>
      <c r="E178" s="145">
        <v>1436.37</v>
      </c>
      <c r="F178" s="145">
        <f t="shared" si="47"/>
        <v>1854066.4</v>
      </c>
      <c r="G178" s="146">
        <f t="shared" si="57"/>
        <v>185960.7</v>
      </c>
      <c r="H178" s="147">
        <v>0</v>
      </c>
      <c r="I178" s="219">
        <f t="shared" si="55"/>
        <v>185960.7</v>
      </c>
      <c r="J178" s="215">
        <f t="shared" si="58"/>
        <v>185406.64</v>
      </c>
      <c r="K178" s="229">
        <f t="shared" ref="K178:K209" si="70">F178-I178-J178</f>
        <v>1482699.06</v>
      </c>
      <c r="L178" s="103"/>
      <c r="M178" s="150">
        <f>F178*0.5</f>
        <v>927033.2</v>
      </c>
      <c r="N178" s="149">
        <f>F178*0.5</f>
        <v>927033.2</v>
      </c>
      <c r="O178" s="101">
        <v>41438</v>
      </c>
      <c r="P178" s="102">
        <v>41468</v>
      </c>
      <c r="Q178" s="103"/>
      <c r="R178" s="104"/>
      <c r="S178" s="104">
        <f>K178*0.5</f>
        <v>741349.53</v>
      </c>
      <c r="T178" s="105">
        <f>K178-S178</f>
        <v>741349.53</v>
      </c>
      <c r="U178" s="109">
        <f t="shared" si="66"/>
        <v>92703.32</v>
      </c>
      <c r="V178" s="104">
        <v>92703.32</v>
      </c>
      <c r="W178" s="106"/>
      <c r="X178" s="106"/>
      <c r="Y178" s="106"/>
      <c r="Z178" s="107"/>
      <c r="AA178" s="136">
        <f t="shared" si="59"/>
        <v>185406.64</v>
      </c>
      <c r="AB178" s="196">
        <f t="shared" si="67"/>
        <v>185406.64</v>
      </c>
      <c r="AC178" s="185">
        <f t="shared" si="68"/>
        <v>0</v>
      </c>
      <c r="AD178" s="185">
        <f t="shared" si="69"/>
        <v>0</v>
      </c>
      <c r="AE178" s="75">
        <f>S178/(S178+T178)</f>
        <v>0.5</v>
      </c>
    </row>
    <row r="179" spans="1:31" ht="31.5" x14ac:dyDescent="0.25">
      <c r="A179" s="48" t="s">
        <v>243</v>
      </c>
      <c r="B179" s="49" t="s">
        <v>109</v>
      </c>
      <c r="C179" s="144" t="s">
        <v>290</v>
      </c>
      <c r="D179" s="163">
        <v>1290.8</v>
      </c>
      <c r="E179" s="145">
        <v>105.1</v>
      </c>
      <c r="F179" s="145">
        <f t="shared" si="47"/>
        <v>135663.07999999999</v>
      </c>
      <c r="G179" s="146">
        <f t="shared" ref="G179:G209" si="71">F179*$AE$6</f>
        <v>13606.85</v>
      </c>
      <c r="H179" s="147">
        <v>0</v>
      </c>
      <c r="I179" s="219">
        <f t="shared" si="55"/>
        <v>13606.85</v>
      </c>
      <c r="J179" s="215">
        <f t="shared" si="58"/>
        <v>13566.31</v>
      </c>
      <c r="K179" s="229">
        <f t="shared" si="70"/>
        <v>108489.92</v>
      </c>
      <c r="L179" s="103"/>
      <c r="M179" s="150">
        <f>F179*0.5</f>
        <v>67831.539999999994</v>
      </c>
      <c r="N179" s="149">
        <f>F179*0.5</f>
        <v>67831.539999999994</v>
      </c>
      <c r="O179" s="101">
        <v>41439</v>
      </c>
      <c r="P179" s="102">
        <v>41469</v>
      </c>
      <c r="Q179" s="103"/>
      <c r="R179" s="104"/>
      <c r="S179" s="104">
        <f>K179*0.5</f>
        <v>54244.959999999999</v>
      </c>
      <c r="T179" s="105">
        <f>K179-S179</f>
        <v>54244.959999999999</v>
      </c>
      <c r="U179" s="109">
        <f t="shared" si="66"/>
        <v>6783.16</v>
      </c>
      <c r="V179" s="104">
        <v>6783.15</v>
      </c>
      <c r="W179" s="106"/>
      <c r="X179" s="106"/>
      <c r="Y179" s="106"/>
      <c r="Z179" s="107"/>
      <c r="AA179" s="136">
        <f t="shared" si="59"/>
        <v>13566.31</v>
      </c>
      <c r="AB179" s="196">
        <f t="shared" si="67"/>
        <v>13566.31</v>
      </c>
      <c r="AC179" s="185">
        <f t="shared" si="68"/>
        <v>0</v>
      </c>
      <c r="AD179" s="185">
        <f t="shared" si="69"/>
        <v>0</v>
      </c>
      <c r="AE179" s="75">
        <f>S179/(S179+T179)</f>
        <v>0.5</v>
      </c>
    </row>
    <row r="180" spans="1:31" ht="31.5" x14ac:dyDescent="0.25">
      <c r="A180" s="48" t="s">
        <v>244</v>
      </c>
      <c r="B180" s="49" t="s">
        <v>114</v>
      </c>
      <c r="C180" s="144" t="s">
        <v>290</v>
      </c>
      <c r="D180" s="163">
        <v>1290.8</v>
      </c>
      <c r="E180" s="145">
        <v>68.680000000000007</v>
      </c>
      <c r="F180" s="145">
        <f t="shared" si="47"/>
        <v>88652.14</v>
      </c>
      <c r="G180" s="146">
        <f t="shared" si="71"/>
        <v>8891.7099999999991</v>
      </c>
      <c r="H180" s="147">
        <v>0</v>
      </c>
      <c r="I180" s="219">
        <f t="shared" si="55"/>
        <v>8891.7099999999991</v>
      </c>
      <c r="J180" s="215">
        <f t="shared" si="58"/>
        <v>8865.2099999999991</v>
      </c>
      <c r="K180" s="229">
        <f t="shared" si="70"/>
        <v>70895.22</v>
      </c>
      <c r="L180" s="103"/>
      <c r="M180" s="150">
        <f>F180*0.5</f>
        <v>44326.07</v>
      </c>
      <c r="N180" s="149">
        <f>F180*0.5</f>
        <v>44326.07</v>
      </c>
      <c r="O180" s="101">
        <v>41439</v>
      </c>
      <c r="P180" s="102">
        <v>41469</v>
      </c>
      <c r="Q180" s="103"/>
      <c r="R180" s="104"/>
      <c r="S180" s="104">
        <f>K180*0.5</f>
        <v>35447.61</v>
      </c>
      <c r="T180" s="105">
        <f>K180-S180</f>
        <v>35447.61</v>
      </c>
      <c r="U180" s="109">
        <f t="shared" si="66"/>
        <v>4432.6099999999997</v>
      </c>
      <c r="V180" s="104">
        <v>4432.6000000000004</v>
      </c>
      <c r="W180" s="106"/>
      <c r="X180" s="106"/>
      <c r="Y180" s="106"/>
      <c r="Z180" s="107"/>
      <c r="AA180" s="136">
        <f t="shared" si="59"/>
        <v>8865.2099999999991</v>
      </c>
      <c r="AB180" s="196">
        <f t="shared" si="67"/>
        <v>8865.2099999999991</v>
      </c>
      <c r="AC180" s="185">
        <f t="shared" si="68"/>
        <v>0</v>
      </c>
      <c r="AD180" s="185">
        <f t="shared" si="69"/>
        <v>0</v>
      </c>
      <c r="AE180" s="75">
        <f>S180/(S180+T180)</f>
        <v>0.5</v>
      </c>
    </row>
    <row r="181" spans="1:31" ht="31.5" x14ac:dyDescent="0.25">
      <c r="A181" s="48" t="s">
        <v>245</v>
      </c>
      <c r="B181" s="49" t="s">
        <v>116</v>
      </c>
      <c r="C181" s="144" t="s">
        <v>290</v>
      </c>
      <c r="D181" s="163">
        <v>1290.8</v>
      </c>
      <c r="E181" s="145">
        <v>1162.1199999999999</v>
      </c>
      <c r="F181" s="145">
        <f t="shared" si="47"/>
        <v>1500064.5</v>
      </c>
      <c r="G181" s="146">
        <f t="shared" si="71"/>
        <v>150454.72</v>
      </c>
      <c r="H181" s="147">
        <v>0</v>
      </c>
      <c r="I181" s="219">
        <f t="shared" si="55"/>
        <v>150454.72</v>
      </c>
      <c r="J181" s="215">
        <f t="shared" si="58"/>
        <v>150006.45000000001</v>
      </c>
      <c r="K181" s="229">
        <f t="shared" si="70"/>
        <v>1199603.33</v>
      </c>
      <c r="L181" s="103"/>
      <c r="M181" s="150">
        <f>F181*0.5</f>
        <v>750032.25</v>
      </c>
      <c r="N181" s="149">
        <f>F181*0.5</f>
        <v>750032.25</v>
      </c>
      <c r="O181" s="101">
        <v>41440</v>
      </c>
      <c r="P181" s="102">
        <v>41470</v>
      </c>
      <c r="Q181" s="103"/>
      <c r="R181" s="104"/>
      <c r="S181" s="104">
        <f>K181*0.5</f>
        <v>599801.67000000004</v>
      </c>
      <c r="T181" s="105">
        <f>K181-S181</f>
        <v>599801.66</v>
      </c>
      <c r="U181" s="109">
        <f t="shared" si="66"/>
        <v>75003.23</v>
      </c>
      <c r="V181" s="104">
        <v>75003.22</v>
      </c>
      <c r="W181" s="106"/>
      <c r="X181" s="106"/>
      <c r="Y181" s="106"/>
      <c r="Z181" s="107"/>
      <c r="AA181" s="136">
        <f t="shared" si="59"/>
        <v>150006.45000000001</v>
      </c>
      <c r="AB181" s="196">
        <f t="shared" si="67"/>
        <v>150006.45000000001</v>
      </c>
      <c r="AC181" s="185">
        <f t="shared" si="68"/>
        <v>0</v>
      </c>
      <c r="AD181" s="185">
        <f t="shared" si="69"/>
        <v>0</v>
      </c>
      <c r="AE181" s="75">
        <f>S181/(S181+T181)</f>
        <v>0.50000000416804402</v>
      </c>
    </row>
    <row r="182" spans="1:31" ht="31.5" x14ac:dyDescent="0.25">
      <c r="A182" s="48" t="s">
        <v>246</v>
      </c>
      <c r="B182" s="49" t="s">
        <v>118</v>
      </c>
      <c r="C182" s="144" t="s">
        <v>290</v>
      </c>
      <c r="D182" s="163">
        <v>4236.8500000000004</v>
      </c>
      <c r="E182" s="145">
        <v>1160.32</v>
      </c>
      <c r="F182" s="145">
        <f t="shared" si="47"/>
        <v>4916101.79</v>
      </c>
      <c r="G182" s="146">
        <f t="shared" si="71"/>
        <v>493079.29</v>
      </c>
      <c r="H182" s="147">
        <v>0</v>
      </c>
      <c r="I182" s="219">
        <f t="shared" si="55"/>
        <v>493079.29</v>
      </c>
      <c r="J182" s="215">
        <f t="shared" si="58"/>
        <v>491610.18</v>
      </c>
      <c r="K182" s="229">
        <f t="shared" si="70"/>
        <v>3931412.32</v>
      </c>
      <c r="L182" s="103"/>
      <c r="M182" s="150">
        <f>F182</f>
        <v>4916101.79</v>
      </c>
      <c r="N182" s="154"/>
      <c r="O182" s="101">
        <v>41457</v>
      </c>
      <c r="P182" s="102">
        <v>41430</v>
      </c>
      <c r="Q182" s="103"/>
      <c r="R182" s="104"/>
      <c r="S182" s="104">
        <f>K182</f>
        <v>3931412.32</v>
      </c>
      <c r="T182" s="105"/>
      <c r="U182" s="109">
        <f t="shared" si="66"/>
        <v>245805.09</v>
      </c>
      <c r="V182" s="104">
        <v>245805.09</v>
      </c>
      <c r="W182" s="106"/>
      <c r="X182" s="106"/>
      <c r="Y182" s="106"/>
      <c r="Z182" s="107"/>
      <c r="AA182" s="136">
        <f t="shared" si="59"/>
        <v>491610.18</v>
      </c>
      <c r="AB182" s="196">
        <f t="shared" si="67"/>
        <v>491610.18</v>
      </c>
      <c r="AC182" s="185">
        <f t="shared" si="68"/>
        <v>0</v>
      </c>
      <c r="AD182" s="185">
        <f t="shared" si="69"/>
        <v>0</v>
      </c>
    </row>
    <row r="183" spans="1:31" ht="31.5" x14ac:dyDescent="0.25">
      <c r="A183" s="48" t="s">
        <v>247</v>
      </c>
      <c r="B183" s="49" t="s">
        <v>109</v>
      </c>
      <c r="C183" s="144" t="s">
        <v>290</v>
      </c>
      <c r="D183" s="163">
        <v>4236.8500000000004</v>
      </c>
      <c r="E183" s="145">
        <v>79.31</v>
      </c>
      <c r="F183" s="145">
        <f t="shared" ref="F183:F209" si="72">ROUND(D183*E183,2)</f>
        <v>336024.57</v>
      </c>
      <c r="G183" s="146">
        <f t="shared" si="71"/>
        <v>33702.870000000003</v>
      </c>
      <c r="H183" s="147">
        <v>0</v>
      </c>
      <c r="I183" s="219">
        <f t="shared" si="55"/>
        <v>33702.870000000003</v>
      </c>
      <c r="J183" s="215">
        <f t="shared" si="58"/>
        <v>33602.46</v>
      </c>
      <c r="K183" s="229">
        <f t="shared" si="70"/>
        <v>268719.24</v>
      </c>
      <c r="L183" s="103"/>
      <c r="M183" s="150">
        <f>F183</f>
        <v>336024.57</v>
      </c>
      <c r="N183" s="154"/>
      <c r="O183" s="101">
        <v>41428</v>
      </c>
      <c r="P183" s="102">
        <v>41430</v>
      </c>
      <c r="Q183" s="103"/>
      <c r="R183" s="104"/>
      <c r="S183" s="104">
        <f>K183</f>
        <v>268719.24</v>
      </c>
      <c r="T183" s="105"/>
      <c r="U183" s="109">
        <f t="shared" si="66"/>
        <v>16801.23</v>
      </c>
      <c r="V183" s="104">
        <v>16801.23</v>
      </c>
      <c r="W183" s="106"/>
      <c r="X183" s="106"/>
      <c r="Y183" s="106"/>
      <c r="Z183" s="107"/>
      <c r="AA183" s="136">
        <f t="shared" si="59"/>
        <v>33602.46</v>
      </c>
      <c r="AB183" s="196">
        <f t="shared" si="67"/>
        <v>33602.46</v>
      </c>
      <c r="AC183" s="185">
        <f t="shared" si="68"/>
        <v>0</v>
      </c>
      <c r="AD183" s="185">
        <f t="shared" si="69"/>
        <v>0</v>
      </c>
    </row>
    <row r="184" spans="1:31" ht="31.5" x14ac:dyDescent="0.25">
      <c r="A184" s="48" t="s">
        <v>248</v>
      </c>
      <c r="B184" s="49" t="s">
        <v>122</v>
      </c>
      <c r="C184" s="144" t="s">
        <v>290</v>
      </c>
      <c r="D184" s="163">
        <v>4236.8500000000004</v>
      </c>
      <c r="E184" s="145">
        <v>469.55</v>
      </c>
      <c r="F184" s="145">
        <f t="shared" si="72"/>
        <v>1989412.92</v>
      </c>
      <c r="G184" s="146">
        <f t="shared" si="71"/>
        <v>199535.8</v>
      </c>
      <c r="H184" s="147">
        <v>0</v>
      </c>
      <c r="I184" s="219">
        <f t="shared" si="55"/>
        <v>199535.8</v>
      </c>
      <c r="J184" s="215">
        <f t="shared" si="58"/>
        <v>198941.29</v>
      </c>
      <c r="K184" s="229">
        <f t="shared" si="70"/>
        <v>1590935.83</v>
      </c>
      <c r="L184" s="103"/>
      <c r="M184" s="150">
        <f>F184</f>
        <v>1989412.92</v>
      </c>
      <c r="N184" s="100"/>
      <c r="O184" s="101">
        <v>41429</v>
      </c>
      <c r="P184" s="102">
        <v>41433</v>
      </c>
      <c r="Q184" s="103"/>
      <c r="R184" s="104"/>
      <c r="S184" s="104">
        <f>K184</f>
        <v>1590935.83</v>
      </c>
      <c r="T184" s="105"/>
      <c r="U184" s="109">
        <f t="shared" si="66"/>
        <v>99470.65</v>
      </c>
      <c r="V184" s="104">
        <v>99470.64</v>
      </c>
      <c r="W184" s="106"/>
      <c r="X184" s="106"/>
      <c r="Y184" s="106"/>
      <c r="Z184" s="107"/>
      <c r="AA184" s="136">
        <f t="shared" si="59"/>
        <v>198941.29</v>
      </c>
      <c r="AB184" s="196">
        <f t="shared" si="67"/>
        <v>198941.29</v>
      </c>
      <c r="AC184" s="185">
        <f t="shared" si="68"/>
        <v>0</v>
      </c>
      <c r="AD184" s="185">
        <f t="shared" si="69"/>
        <v>0</v>
      </c>
    </row>
    <row r="185" spans="1:31" ht="63" x14ac:dyDescent="0.25">
      <c r="A185" s="48" t="s">
        <v>249</v>
      </c>
      <c r="B185" s="49" t="s">
        <v>124</v>
      </c>
      <c r="C185" s="144" t="s">
        <v>288</v>
      </c>
      <c r="D185" s="181">
        <v>7414.49</v>
      </c>
      <c r="E185" s="145">
        <v>8134.97</v>
      </c>
      <c r="F185" s="145">
        <f t="shared" si="72"/>
        <v>60316653.719999999</v>
      </c>
      <c r="G185" s="146">
        <f t="shared" si="71"/>
        <v>6049690.1799999997</v>
      </c>
      <c r="H185" s="147">
        <v>0</v>
      </c>
      <c r="I185" s="219">
        <f t="shared" si="55"/>
        <v>6049690.1799999997</v>
      </c>
      <c r="J185" s="215">
        <f t="shared" si="58"/>
        <v>6031665.3700000001</v>
      </c>
      <c r="K185" s="229">
        <f t="shared" si="70"/>
        <v>48235298.170000002</v>
      </c>
      <c r="L185" s="103"/>
      <c r="M185" s="150">
        <f>F185*0.4</f>
        <v>24126661.489999998</v>
      </c>
      <c r="N185" s="149">
        <f>F185*0.6</f>
        <v>36189992.229999997</v>
      </c>
      <c r="O185" s="101">
        <v>41431</v>
      </c>
      <c r="P185" s="102">
        <v>41465</v>
      </c>
      <c r="Q185" s="103"/>
      <c r="R185" s="104"/>
      <c r="S185" s="104">
        <f>K185*0.4</f>
        <v>19294119.27</v>
      </c>
      <c r="T185" s="105">
        <f>K185-S185</f>
        <v>28941178.899999999</v>
      </c>
      <c r="U185" s="109">
        <f t="shared" si="66"/>
        <v>3015832.69</v>
      </c>
      <c r="V185" s="104">
        <v>3015832.68</v>
      </c>
      <c r="W185" s="106"/>
      <c r="X185" s="106"/>
      <c r="Y185" s="106"/>
      <c r="Z185" s="107"/>
      <c r="AA185" s="136">
        <f t="shared" si="59"/>
        <v>6031665.3700000001</v>
      </c>
      <c r="AB185" s="196">
        <f t="shared" si="67"/>
        <v>6031665.3700000001</v>
      </c>
      <c r="AC185" s="185">
        <f t="shared" si="68"/>
        <v>0</v>
      </c>
      <c r="AD185" s="185">
        <f t="shared" si="69"/>
        <v>0</v>
      </c>
      <c r="AE185" s="75">
        <f>S185/(S185+T185)</f>
        <v>0.40000000004146302</v>
      </c>
    </row>
    <row r="186" spans="1:31" s="80" customFormat="1" ht="31.5" x14ac:dyDescent="0.25">
      <c r="A186" s="46" t="s">
        <v>250</v>
      </c>
      <c r="B186" s="47" t="s">
        <v>251</v>
      </c>
      <c r="C186" s="24"/>
      <c r="D186" s="162"/>
      <c r="E186" s="25"/>
      <c r="F186" s="25"/>
      <c r="G186" s="26">
        <f t="shared" si="71"/>
        <v>0</v>
      </c>
      <c r="H186" s="27"/>
      <c r="I186" s="220"/>
      <c r="J186" s="229">
        <f t="shared" si="58"/>
        <v>0</v>
      </c>
      <c r="K186" s="229">
        <f t="shared" si="70"/>
        <v>0</v>
      </c>
      <c r="L186" s="93"/>
      <c r="M186" s="90"/>
      <c r="N186" s="98"/>
      <c r="O186" s="91"/>
      <c r="P186" s="92"/>
      <c r="Q186" s="93"/>
      <c r="R186" s="29"/>
      <c r="S186" s="29"/>
      <c r="T186" s="94"/>
      <c r="U186" s="109"/>
      <c r="V186" s="104"/>
      <c r="W186" s="106"/>
      <c r="X186" s="106"/>
      <c r="Y186" s="106"/>
      <c r="Z186" s="107"/>
      <c r="AA186" s="136"/>
      <c r="AB186" s="196">
        <f t="shared" si="67"/>
        <v>0</v>
      </c>
      <c r="AC186" s="185">
        <f t="shared" si="68"/>
        <v>0</v>
      </c>
      <c r="AD186" s="185">
        <f t="shared" si="69"/>
        <v>0</v>
      </c>
    </row>
    <row r="187" spans="1:31" ht="31.5" x14ac:dyDescent="0.25">
      <c r="A187" s="48" t="s">
        <v>252</v>
      </c>
      <c r="B187" s="49" t="s">
        <v>239</v>
      </c>
      <c r="C187" s="144" t="s">
        <v>288</v>
      </c>
      <c r="D187" s="163">
        <v>82.3</v>
      </c>
      <c r="E187" s="145">
        <v>1804.86</v>
      </c>
      <c r="F187" s="145">
        <f t="shared" si="72"/>
        <v>148539.98000000001</v>
      </c>
      <c r="G187" s="146">
        <f t="shared" si="71"/>
        <v>14898.39</v>
      </c>
      <c r="H187" s="147">
        <v>0</v>
      </c>
      <c r="I187" s="219">
        <f t="shared" si="55"/>
        <v>14898.39</v>
      </c>
      <c r="J187" s="215">
        <f t="shared" si="58"/>
        <v>14854</v>
      </c>
      <c r="K187" s="229">
        <f t="shared" si="70"/>
        <v>118787.59</v>
      </c>
      <c r="L187" s="103"/>
      <c r="M187" s="150">
        <f>F187</f>
        <v>148539.98000000001</v>
      </c>
      <c r="N187" s="100"/>
      <c r="O187" s="101">
        <v>41427</v>
      </c>
      <c r="P187" s="102">
        <v>41428</v>
      </c>
      <c r="Q187" s="103"/>
      <c r="R187" s="104"/>
      <c r="S187" s="104">
        <f>K187</f>
        <v>118787.59</v>
      </c>
      <c r="T187" s="105"/>
      <c r="U187" s="109">
        <f t="shared" ref="U187:U197" si="73">J187*0.5</f>
        <v>7427</v>
      </c>
      <c r="V187" s="104">
        <v>7427</v>
      </c>
      <c r="W187" s="106"/>
      <c r="X187" s="106"/>
      <c r="Y187" s="106"/>
      <c r="Z187" s="107"/>
      <c r="AA187" s="136">
        <f t="shared" si="59"/>
        <v>14854</v>
      </c>
      <c r="AB187" s="196">
        <f t="shared" si="67"/>
        <v>14854</v>
      </c>
      <c r="AC187" s="185">
        <f t="shared" si="68"/>
        <v>0</v>
      </c>
      <c r="AD187" s="185">
        <f t="shared" si="69"/>
        <v>0</v>
      </c>
    </row>
    <row r="188" spans="1:31" ht="31.5" x14ac:dyDescent="0.25">
      <c r="A188" s="48" t="s">
        <v>253</v>
      </c>
      <c r="B188" s="49" t="s">
        <v>107</v>
      </c>
      <c r="C188" s="144" t="s">
        <v>288</v>
      </c>
      <c r="D188" s="163">
        <v>82.26</v>
      </c>
      <c r="E188" s="145">
        <v>4309.76</v>
      </c>
      <c r="F188" s="145">
        <f t="shared" si="72"/>
        <v>354520.86</v>
      </c>
      <c r="G188" s="146">
        <f t="shared" si="71"/>
        <v>35558.03</v>
      </c>
      <c r="H188" s="147">
        <v>0</v>
      </c>
      <c r="I188" s="219">
        <f t="shared" si="55"/>
        <v>35558.03</v>
      </c>
      <c r="J188" s="215">
        <f t="shared" si="58"/>
        <v>35452.089999999997</v>
      </c>
      <c r="K188" s="229">
        <f t="shared" si="70"/>
        <v>283510.74</v>
      </c>
      <c r="L188" s="103"/>
      <c r="M188" s="150">
        <f>F188</f>
        <v>354520.86</v>
      </c>
      <c r="N188" s="100"/>
      <c r="O188" s="101">
        <v>41428</v>
      </c>
      <c r="P188" s="102">
        <v>41429</v>
      </c>
      <c r="Q188" s="103"/>
      <c r="R188" s="104"/>
      <c r="S188" s="104">
        <f>K188</f>
        <v>283510.74</v>
      </c>
      <c r="T188" s="105"/>
      <c r="U188" s="109">
        <f t="shared" si="73"/>
        <v>17726.05</v>
      </c>
      <c r="V188" s="104">
        <v>17726.04</v>
      </c>
      <c r="W188" s="106"/>
      <c r="X188" s="106"/>
      <c r="Y188" s="106"/>
      <c r="Z188" s="107"/>
      <c r="AA188" s="136">
        <f t="shared" si="59"/>
        <v>35452.089999999997</v>
      </c>
      <c r="AB188" s="196">
        <f t="shared" si="67"/>
        <v>35452.089999999997</v>
      </c>
      <c r="AC188" s="185">
        <f t="shared" si="68"/>
        <v>0</v>
      </c>
      <c r="AD188" s="185">
        <f t="shared" si="69"/>
        <v>0</v>
      </c>
    </row>
    <row r="189" spans="1:31" ht="31.5" x14ac:dyDescent="0.25">
      <c r="A189" s="48" t="s">
        <v>254</v>
      </c>
      <c r="B189" s="49" t="s">
        <v>109</v>
      </c>
      <c r="C189" s="144" t="s">
        <v>290</v>
      </c>
      <c r="D189" s="163">
        <v>810</v>
      </c>
      <c r="E189" s="145">
        <v>105.1</v>
      </c>
      <c r="F189" s="145">
        <f t="shared" si="72"/>
        <v>85131</v>
      </c>
      <c r="G189" s="146">
        <f t="shared" si="71"/>
        <v>8538.5400000000009</v>
      </c>
      <c r="H189" s="147">
        <v>0</v>
      </c>
      <c r="I189" s="219">
        <f t="shared" si="55"/>
        <v>8538.5400000000009</v>
      </c>
      <c r="J189" s="215">
        <f t="shared" si="58"/>
        <v>8513.1</v>
      </c>
      <c r="K189" s="229">
        <f t="shared" si="70"/>
        <v>68079.360000000001</v>
      </c>
      <c r="L189" s="103"/>
      <c r="M189" s="150">
        <f>F189*0.6</f>
        <v>51078.6</v>
      </c>
      <c r="N189" s="149">
        <f>F189-M189</f>
        <v>34052.400000000001</v>
      </c>
      <c r="O189" s="101">
        <v>41439</v>
      </c>
      <c r="P189" s="102">
        <v>41457</v>
      </c>
      <c r="Q189" s="103"/>
      <c r="R189" s="104"/>
      <c r="S189" s="104">
        <f>K189*0.6</f>
        <v>40847.620000000003</v>
      </c>
      <c r="T189" s="105">
        <f>K189-S189</f>
        <v>27231.74</v>
      </c>
      <c r="U189" s="109">
        <f t="shared" si="73"/>
        <v>4256.55</v>
      </c>
      <c r="V189" s="104">
        <v>4256.55</v>
      </c>
      <c r="W189" s="106"/>
      <c r="X189" s="106"/>
      <c r="Y189" s="106"/>
      <c r="Z189" s="107"/>
      <c r="AA189" s="136">
        <f t="shared" si="59"/>
        <v>8513.1</v>
      </c>
      <c r="AB189" s="196">
        <f t="shared" si="67"/>
        <v>8513.1</v>
      </c>
      <c r="AC189" s="185">
        <f t="shared" si="68"/>
        <v>0</v>
      </c>
      <c r="AD189" s="185">
        <f t="shared" si="69"/>
        <v>0</v>
      </c>
      <c r="AE189" s="75">
        <f>S189/(S189+T189)</f>
        <v>0.60000005875495899</v>
      </c>
    </row>
    <row r="190" spans="1:31" ht="31.5" x14ac:dyDescent="0.25">
      <c r="A190" s="48" t="s">
        <v>255</v>
      </c>
      <c r="B190" s="49" t="s">
        <v>111</v>
      </c>
      <c r="C190" s="144" t="s">
        <v>290</v>
      </c>
      <c r="D190" s="163">
        <v>810</v>
      </c>
      <c r="E190" s="145">
        <v>1436.37</v>
      </c>
      <c r="F190" s="145">
        <f t="shared" si="72"/>
        <v>1163459.7</v>
      </c>
      <c r="G190" s="146">
        <f t="shared" si="71"/>
        <v>116693.65</v>
      </c>
      <c r="H190" s="147">
        <v>0</v>
      </c>
      <c r="I190" s="219">
        <f t="shared" si="55"/>
        <v>116693.65</v>
      </c>
      <c r="J190" s="215">
        <f t="shared" si="58"/>
        <v>116345.97</v>
      </c>
      <c r="K190" s="229">
        <f t="shared" si="70"/>
        <v>930420.08</v>
      </c>
      <c r="L190" s="103"/>
      <c r="M190" s="150">
        <f>F190*0.6</f>
        <v>698075.82</v>
      </c>
      <c r="N190" s="149">
        <f>F190-M190</f>
        <v>465383.88</v>
      </c>
      <c r="O190" s="101">
        <v>41440</v>
      </c>
      <c r="P190" s="102">
        <v>41459</v>
      </c>
      <c r="Q190" s="103"/>
      <c r="R190" s="104"/>
      <c r="S190" s="104">
        <f>K190*0.6</f>
        <v>558252.05000000005</v>
      </c>
      <c r="T190" s="105">
        <f>K190-S190</f>
        <v>372168.03</v>
      </c>
      <c r="U190" s="109">
        <f t="shared" si="73"/>
        <v>58172.99</v>
      </c>
      <c r="V190" s="104">
        <v>58172.98</v>
      </c>
      <c r="W190" s="106"/>
      <c r="X190" s="106"/>
      <c r="Y190" s="106"/>
      <c r="Z190" s="107"/>
      <c r="AA190" s="136">
        <f t="shared" si="59"/>
        <v>116345.97</v>
      </c>
      <c r="AB190" s="196">
        <f t="shared" si="67"/>
        <v>116345.97</v>
      </c>
      <c r="AC190" s="185">
        <f t="shared" si="68"/>
        <v>0</v>
      </c>
      <c r="AD190" s="185">
        <f t="shared" si="69"/>
        <v>0</v>
      </c>
      <c r="AE190" s="75">
        <f>S190/(S190+T190)</f>
        <v>0.60000000214956695</v>
      </c>
    </row>
    <row r="191" spans="1:31" ht="31.5" x14ac:dyDescent="0.25">
      <c r="A191" s="48" t="s">
        <v>256</v>
      </c>
      <c r="B191" s="49" t="s">
        <v>109</v>
      </c>
      <c r="C191" s="144" t="s">
        <v>290</v>
      </c>
      <c r="D191" s="163">
        <v>810</v>
      </c>
      <c r="E191" s="145">
        <v>105.1</v>
      </c>
      <c r="F191" s="145">
        <f t="shared" si="72"/>
        <v>85131</v>
      </c>
      <c r="G191" s="146">
        <f t="shared" si="71"/>
        <v>8538.5400000000009</v>
      </c>
      <c r="H191" s="147">
        <v>0</v>
      </c>
      <c r="I191" s="219">
        <f t="shared" si="55"/>
        <v>8538.5400000000009</v>
      </c>
      <c r="J191" s="215">
        <f t="shared" si="58"/>
        <v>8513.1</v>
      </c>
      <c r="K191" s="229">
        <f t="shared" si="70"/>
        <v>68079.360000000001</v>
      </c>
      <c r="L191" s="103"/>
      <c r="M191" s="99"/>
      <c r="N191" s="149">
        <f>F191</f>
        <v>85131</v>
      </c>
      <c r="O191" s="101">
        <v>41442</v>
      </c>
      <c r="P191" s="102">
        <v>41459</v>
      </c>
      <c r="Q191" s="103"/>
      <c r="R191" s="104"/>
      <c r="S191" s="104"/>
      <c r="T191" s="105">
        <f>K191</f>
        <v>68079.360000000001</v>
      </c>
      <c r="U191" s="109">
        <f t="shared" si="73"/>
        <v>4256.55</v>
      </c>
      <c r="V191" s="104">
        <v>4256.55</v>
      </c>
      <c r="W191" s="106"/>
      <c r="X191" s="106"/>
      <c r="Y191" s="106"/>
      <c r="Z191" s="107"/>
      <c r="AA191" s="136">
        <f t="shared" si="59"/>
        <v>8513.1</v>
      </c>
      <c r="AB191" s="196">
        <f t="shared" si="67"/>
        <v>8513.1</v>
      </c>
      <c r="AC191" s="185">
        <f t="shared" si="68"/>
        <v>0</v>
      </c>
      <c r="AD191" s="185">
        <f t="shared" si="69"/>
        <v>0</v>
      </c>
    </row>
    <row r="192" spans="1:31" ht="31.5" x14ac:dyDescent="0.25">
      <c r="A192" s="48" t="s">
        <v>257</v>
      </c>
      <c r="B192" s="49" t="s">
        <v>114</v>
      </c>
      <c r="C192" s="144" t="s">
        <v>290</v>
      </c>
      <c r="D192" s="163">
        <v>810</v>
      </c>
      <c r="E192" s="145">
        <v>68.680000000000007</v>
      </c>
      <c r="F192" s="145">
        <f t="shared" si="72"/>
        <v>55630.8</v>
      </c>
      <c r="G192" s="146">
        <f t="shared" si="71"/>
        <v>5579.7</v>
      </c>
      <c r="H192" s="147">
        <v>0</v>
      </c>
      <c r="I192" s="219">
        <f t="shared" si="55"/>
        <v>5579.7</v>
      </c>
      <c r="J192" s="215">
        <f t="shared" si="58"/>
        <v>5563.08</v>
      </c>
      <c r="K192" s="229">
        <f t="shared" si="70"/>
        <v>44488.02</v>
      </c>
      <c r="L192" s="103"/>
      <c r="M192" s="99"/>
      <c r="N192" s="149">
        <f>F192</f>
        <v>55630.8</v>
      </c>
      <c r="O192" s="101">
        <v>41443</v>
      </c>
      <c r="P192" s="102">
        <v>41460</v>
      </c>
      <c r="Q192" s="103"/>
      <c r="R192" s="104"/>
      <c r="S192" s="104"/>
      <c r="T192" s="105">
        <f>K192</f>
        <v>44488.02</v>
      </c>
      <c r="U192" s="109">
        <f t="shared" si="73"/>
        <v>2781.54</v>
      </c>
      <c r="V192" s="104">
        <v>2781.54</v>
      </c>
      <c r="W192" s="106"/>
      <c r="X192" s="106"/>
      <c r="Y192" s="106"/>
      <c r="Z192" s="107"/>
      <c r="AA192" s="136">
        <f t="shared" si="59"/>
        <v>5563.08</v>
      </c>
      <c r="AB192" s="196">
        <f t="shared" si="67"/>
        <v>5563.08</v>
      </c>
      <c r="AC192" s="185">
        <f t="shared" si="68"/>
        <v>0</v>
      </c>
      <c r="AD192" s="185">
        <f t="shared" si="69"/>
        <v>0</v>
      </c>
    </row>
    <row r="193" spans="1:31" ht="31.5" x14ac:dyDescent="0.25">
      <c r="A193" s="48" t="s">
        <v>258</v>
      </c>
      <c r="B193" s="49" t="s">
        <v>116</v>
      </c>
      <c r="C193" s="144" t="s">
        <v>290</v>
      </c>
      <c r="D193" s="163">
        <v>810</v>
      </c>
      <c r="E193" s="145">
        <v>1162.1199999999999</v>
      </c>
      <c r="F193" s="145">
        <f t="shared" si="72"/>
        <v>941317.2</v>
      </c>
      <c r="G193" s="146">
        <f t="shared" si="71"/>
        <v>94413.02</v>
      </c>
      <c r="H193" s="147">
        <v>0</v>
      </c>
      <c r="I193" s="219">
        <f t="shared" si="55"/>
        <v>94413.02</v>
      </c>
      <c r="J193" s="215">
        <f t="shared" si="58"/>
        <v>94131.72</v>
      </c>
      <c r="K193" s="229">
        <f t="shared" si="70"/>
        <v>752772.46</v>
      </c>
      <c r="L193" s="103"/>
      <c r="M193" s="99"/>
      <c r="N193" s="149">
        <f>F193</f>
        <v>941317.2</v>
      </c>
      <c r="O193" s="101">
        <v>41444</v>
      </c>
      <c r="P193" s="102">
        <v>41465</v>
      </c>
      <c r="Q193" s="103"/>
      <c r="R193" s="104"/>
      <c r="S193" s="104"/>
      <c r="T193" s="105">
        <f>K193</f>
        <v>752772.46</v>
      </c>
      <c r="U193" s="109">
        <f t="shared" si="73"/>
        <v>47065.86</v>
      </c>
      <c r="V193" s="104">
        <v>47065.86</v>
      </c>
      <c r="W193" s="106"/>
      <c r="X193" s="106"/>
      <c r="Y193" s="106"/>
      <c r="Z193" s="107"/>
      <c r="AA193" s="136">
        <f t="shared" si="59"/>
        <v>94131.72</v>
      </c>
      <c r="AB193" s="196">
        <f t="shared" si="67"/>
        <v>94131.72</v>
      </c>
      <c r="AC193" s="185">
        <f t="shared" si="68"/>
        <v>0</v>
      </c>
      <c r="AD193" s="185">
        <f t="shared" si="69"/>
        <v>0</v>
      </c>
    </row>
    <row r="194" spans="1:31" ht="31.5" x14ac:dyDescent="0.25">
      <c r="A194" s="48" t="s">
        <v>259</v>
      </c>
      <c r="B194" s="49" t="s">
        <v>118</v>
      </c>
      <c r="C194" s="144" t="s">
        <v>290</v>
      </c>
      <c r="D194" s="163">
        <v>822.6</v>
      </c>
      <c r="E194" s="145">
        <v>1160.32</v>
      </c>
      <c r="F194" s="145">
        <f t="shared" si="72"/>
        <v>954479.23</v>
      </c>
      <c r="G194" s="146">
        <f t="shared" si="71"/>
        <v>95733.16</v>
      </c>
      <c r="H194" s="147">
        <v>0</v>
      </c>
      <c r="I194" s="219">
        <f t="shared" si="55"/>
        <v>95733.16</v>
      </c>
      <c r="J194" s="215">
        <f t="shared" si="58"/>
        <v>95447.92</v>
      </c>
      <c r="K194" s="229">
        <f t="shared" si="70"/>
        <v>763298.15</v>
      </c>
      <c r="L194" s="103"/>
      <c r="M194" s="150">
        <f>F194</f>
        <v>954479.23</v>
      </c>
      <c r="N194" s="100"/>
      <c r="O194" s="101">
        <v>41429</v>
      </c>
      <c r="P194" s="102">
        <v>41434</v>
      </c>
      <c r="Q194" s="103"/>
      <c r="R194" s="104"/>
      <c r="S194" s="104">
        <f>K194</f>
        <v>763298.15</v>
      </c>
      <c r="T194" s="105"/>
      <c r="U194" s="109">
        <f t="shared" si="73"/>
        <v>47723.96</v>
      </c>
      <c r="V194" s="104">
        <v>47723.96</v>
      </c>
      <c r="W194" s="106"/>
      <c r="X194" s="106"/>
      <c r="Y194" s="106"/>
      <c r="Z194" s="107"/>
      <c r="AA194" s="136">
        <f t="shared" si="59"/>
        <v>95447.92</v>
      </c>
      <c r="AB194" s="196">
        <f t="shared" si="67"/>
        <v>95447.92</v>
      </c>
      <c r="AC194" s="185">
        <f t="shared" si="68"/>
        <v>0</v>
      </c>
      <c r="AD194" s="185">
        <f t="shared" si="69"/>
        <v>0</v>
      </c>
    </row>
    <row r="195" spans="1:31" ht="31.5" x14ac:dyDescent="0.25">
      <c r="A195" s="48" t="s">
        <v>260</v>
      </c>
      <c r="B195" s="49" t="s">
        <v>109</v>
      </c>
      <c r="C195" s="144" t="s">
        <v>290</v>
      </c>
      <c r="D195" s="163">
        <v>822.6</v>
      </c>
      <c r="E195" s="145">
        <v>79.31</v>
      </c>
      <c r="F195" s="145">
        <f t="shared" si="72"/>
        <v>65240.41</v>
      </c>
      <c r="G195" s="146">
        <f t="shared" si="71"/>
        <v>6543.54</v>
      </c>
      <c r="H195" s="147">
        <v>0</v>
      </c>
      <c r="I195" s="219">
        <f t="shared" si="55"/>
        <v>6543.54</v>
      </c>
      <c r="J195" s="215">
        <f t="shared" si="58"/>
        <v>6524.04</v>
      </c>
      <c r="K195" s="229">
        <f t="shared" si="70"/>
        <v>52172.83</v>
      </c>
      <c r="L195" s="103"/>
      <c r="M195" s="150">
        <f>F195</f>
        <v>65240.41</v>
      </c>
      <c r="N195" s="100"/>
      <c r="O195" s="101">
        <v>41430</v>
      </c>
      <c r="P195" s="102">
        <v>41435</v>
      </c>
      <c r="Q195" s="103"/>
      <c r="R195" s="104"/>
      <c r="S195" s="104">
        <f>K195</f>
        <v>52172.83</v>
      </c>
      <c r="T195" s="105"/>
      <c r="U195" s="109">
        <f t="shared" si="73"/>
        <v>3262.02</v>
      </c>
      <c r="V195" s="104">
        <v>3262.02</v>
      </c>
      <c r="W195" s="106"/>
      <c r="X195" s="106"/>
      <c r="Y195" s="106"/>
      <c r="Z195" s="107"/>
      <c r="AA195" s="136">
        <f t="shared" si="59"/>
        <v>6524.04</v>
      </c>
      <c r="AB195" s="196">
        <f t="shared" si="67"/>
        <v>6524.04</v>
      </c>
      <c r="AC195" s="185">
        <f t="shared" si="68"/>
        <v>0</v>
      </c>
      <c r="AD195" s="185">
        <f t="shared" si="69"/>
        <v>0</v>
      </c>
    </row>
    <row r="196" spans="1:31" ht="31.5" x14ac:dyDescent="0.25">
      <c r="A196" s="48" t="s">
        <v>261</v>
      </c>
      <c r="B196" s="49" t="s">
        <v>122</v>
      </c>
      <c r="C196" s="144" t="s">
        <v>290</v>
      </c>
      <c r="D196" s="163">
        <v>822.6</v>
      </c>
      <c r="E196" s="145">
        <v>469.55</v>
      </c>
      <c r="F196" s="145">
        <f t="shared" si="72"/>
        <v>386251.83</v>
      </c>
      <c r="G196" s="146">
        <f t="shared" si="71"/>
        <v>38740.61</v>
      </c>
      <c r="H196" s="147">
        <v>0</v>
      </c>
      <c r="I196" s="219">
        <f t="shared" si="55"/>
        <v>38740.61</v>
      </c>
      <c r="J196" s="215">
        <f t="shared" si="58"/>
        <v>38625.18</v>
      </c>
      <c r="K196" s="229">
        <f t="shared" si="70"/>
        <v>308886.03999999998</v>
      </c>
      <c r="L196" s="103"/>
      <c r="M196" s="150">
        <f>F196</f>
        <v>386251.83</v>
      </c>
      <c r="N196" s="100"/>
      <c r="O196" s="101">
        <v>41431</v>
      </c>
      <c r="P196" s="102">
        <v>41437</v>
      </c>
      <c r="Q196" s="103"/>
      <c r="R196" s="104"/>
      <c r="S196" s="104">
        <f>K196</f>
        <v>308886.03999999998</v>
      </c>
      <c r="T196" s="105"/>
      <c r="U196" s="109">
        <f t="shared" si="73"/>
        <v>19312.59</v>
      </c>
      <c r="V196" s="104">
        <v>19312.59</v>
      </c>
      <c r="W196" s="106"/>
      <c r="X196" s="106"/>
      <c r="Y196" s="106"/>
      <c r="Z196" s="107"/>
      <c r="AA196" s="136">
        <f t="shared" si="59"/>
        <v>38625.18</v>
      </c>
      <c r="AB196" s="196">
        <f t="shared" si="67"/>
        <v>38625.18</v>
      </c>
      <c r="AC196" s="185">
        <f t="shared" si="68"/>
        <v>0</v>
      </c>
      <c r="AD196" s="185">
        <f t="shared" si="69"/>
        <v>0</v>
      </c>
    </row>
    <row r="197" spans="1:31" ht="78.75" x14ac:dyDescent="0.25">
      <c r="A197" s="48" t="s">
        <v>262</v>
      </c>
      <c r="B197" s="49" t="s">
        <v>263</v>
      </c>
      <c r="C197" s="144" t="s">
        <v>288</v>
      </c>
      <c r="D197" s="163">
        <v>1234</v>
      </c>
      <c r="E197" s="145">
        <v>7818.5</v>
      </c>
      <c r="F197" s="145">
        <f t="shared" si="72"/>
        <v>9648029</v>
      </c>
      <c r="G197" s="146">
        <f t="shared" si="71"/>
        <v>967686.08</v>
      </c>
      <c r="H197" s="147">
        <v>0</v>
      </c>
      <c r="I197" s="219">
        <f t="shared" si="55"/>
        <v>967686.08</v>
      </c>
      <c r="J197" s="215">
        <f t="shared" si="58"/>
        <v>964802.9</v>
      </c>
      <c r="K197" s="229">
        <f t="shared" si="70"/>
        <v>7715540.0199999996</v>
      </c>
      <c r="L197" s="103"/>
      <c r="M197" s="150">
        <f>F197*0.4</f>
        <v>3859211.6</v>
      </c>
      <c r="N197" s="149">
        <f>F197-M197</f>
        <v>5788817.4000000004</v>
      </c>
      <c r="O197" s="101">
        <v>41434</v>
      </c>
      <c r="P197" s="102">
        <v>41455</v>
      </c>
      <c r="Q197" s="103"/>
      <c r="R197" s="104"/>
      <c r="S197" s="104">
        <f>K197*0.4</f>
        <v>3086216.01</v>
      </c>
      <c r="T197" s="105">
        <f>K197-S197</f>
        <v>4629324.01</v>
      </c>
      <c r="U197" s="109">
        <f t="shared" si="73"/>
        <v>482401.45</v>
      </c>
      <c r="V197" s="104">
        <v>482401.45</v>
      </c>
      <c r="W197" s="106"/>
      <c r="X197" s="106"/>
      <c r="Y197" s="106"/>
      <c r="Z197" s="107"/>
      <c r="AA197" s="136">
        <f t="shared" si="59"/>
        <v>964802.9</v>
      </c>
      <c r="AB197" s="196">
        <f t="shared" si="67"/>
        <v>964802.9</v>
      </c>
      <c r="AC197" s="185">
        <f t="shared" si="68"/>
        <v>0</v>
      </c>
      <c r="AD197" s="185">
        <f t="shared" si="69"/>
        <v>0</v>
      </c>
      <c r="AE197" s="198">
        <f>S197/(S197+T197)</f>
        <v>0.4</v>
      </c>
    </row>
    <row r="198" spans="1:31" s="80" customFormat="1" ht="31.5" x14ac:dyDescent="0.25">
      <c r="A198" s="46" t="s">
        <v>264</v>
      </c>
      <c r="B198" s="47" t="s">
        <v>265</v>
      </c>
      <c r="C198" s="24"/>
      <c r="D198" s="162"/>
      <c r="E198" s="25"/>
      <c r="F198" s="25"/>
      <c r="G198" s="26">
        <f t="shared" si="71"/>
        <v>0</v>
      </c>
      <c r="H198" s="27">
        <v>0</v>
      </c>
      <c r="I198" s="220"/>
      <c r="J198" s="229">
        <f t="shared" si="58"/>
        <v>0</v>
      </c>
      <c r="K198" s="229">
        <f t="shared" si="70"/>
        <v>0</v>
      </c>
      <c r="L198" s="93"/>
      <c r="M198" s="90"/>
      <c r="N198" s="98"/>
      <c r="O198" s="91"/>
      <c r="P198" s="92"/>
      <c r="Q198" s="93"/>
      <c r="R198" s="29"/>
      <c r="S198" s="29"/>
      <c r="T198" s="94"/>
      <c r="U198" s="109"/>
      <c r="V198" s="104"/>
      <c r="W198" s="106"/>
      <c r="X198" s="106"/>
      <c r="Y198" s="106"/>
      <c r="Z198" s="107"/>
      <c r="AA198" s="136"/>
      <c r="AB198" s="196">
        <f t="shared" si="67"/>
        <v>0</v>
      </c>
      <c r="AC198" s="185">
        <f t="shared" si="68"/>
        <v>0</v>
      </c>
      <c r="AD198" s="185">
        <f t="shared" si="69"/>
        <v>0</v>
      </c>
    </row>
    <row r="199" spans="1:31" ht="31.5" x14ac:dyDescent="0.25">
      <c r="A199" s="48" t="s">
        <v>266</v>
      </c>
      <c r="B199" s="49" t="s">
        <v>239</v>
      </c>
      <c r="C199" s="144" t="s">
        <v>288</v>
      </c>
      <c r="D199" s="163">
        <v>90.24</v>
      </c>
      <c r="E199" s="145">
        <v>1804.86</v>
      </c>
      <c r="F199" s="145">
        <f t="shared" si="72"/>
        <v>162870.57</v>
      </c>
      <c r="G199" s="146">
        <f t="shared" si="71"/>
        <v>16335.73</v>
      </c>
      <c r="H199" s="147">
        <v>0</v>
      </c>
      <c r="I199" s="219">
        <f t="shared" si="55"/>
        <v>16335.73</v>
      </c>
      <c r="J199" s="215">
        <f t="shared" si="58"/>
        <v>16287.06</v>
      </c>
      <c r="K199" s="229">
        <f t="shared" si="70"/>
        <v>130247.78</v>
      </c>
      <c r="L199" s="103"/>
      <c r="M199" s="150">
        <f>F199</f>
        <v>162870.57</v>
      </c>
      <c r="N199" s="100"/>
      <c r="O199" s="101">
        <v>41433</v>
      </c>
      <c r="P199" s="102">
        <v>41435</v>
      </c>
      <c r="Q199" s="103"/>
      <c r="R199" s="104"/>
      <c r="S199" s="104">
        <f>K199</f>
        <v>130247.78</v>
      </c>
      <c r="T199" s="105"/>
      <c r="U199" s="109">
        <f t="shared" ref="U199:U209" si="74">J199*0.5</f>
        <v>8143.53</v>
      </c>
      <c r="V199" s="104">
        <v>8143.53</v>
      </c>
      <c r="W199" s="106"/>
      <c r="X199" s="106"/>
      <c r="Y199" s="106"/>
      <c r="Z199" s="107"/>
      <c r="AA199" s="136">
        <f t="shared" si="59"/>
        <v>16287.06</v>
      </c>
      <c r="AB199" s="196">
        <f t="shared" si="67"/>
        <v>16287.06</v>
      </c>
      <c r="AC199" s="185">
        <f t="shared" si="68"/>
        <v>0</v>
      </c>
      <c r="AD199" s="185">
        <f t="shared" si="69"/>
        <v>0</v>
      </c>
    </row>
    <row r="200" spans="1:31" ht="31.5" x14ac:dyDescent="0.25">
      <c r="A200" s="48" t="s">
        <v>267</v>
      </c>
      <c r="B200" s="49" t="s">
        <v>107</v>
      </c>
      <c r="C200" s="144" t="s">
        <v>288</v>
      </c>
      <c r="D200" s="163">
        <v>90.24</v>
      </c>
      <c r="E200" s="145">
        <v>4309.76</v>
      </c>
      <c r="F200" s="145">
        <f t="shared" si="72"/>
        <v>388912.74</v>
      </c>
      <c r="G200" s="146">
        <f t="shared" si="71"/>
        <v>39007.5</v>
      </c>
      <c r="H200" s="147">
        <v>0</v>
      </c>
      <c r="I200" s="219">
        <f t="shared" si="55"/>
        <v>39007.5</v>
      </c>
      <c r="J200" s="215">
        <f t="shared" si="58"/>
        <v>38891.269999999997</v>
      </c>
      <c r="K200" s="229">
        <f t="shared" si="70"/>
        <v>311013.96999999997</v>
      </c>
      <c r="L200" s="103"/>
      <c r="M200" s="150">
        <f>F200</f>
        <v>388912.74</v>
      </c>
      <c r="N200" s="100"/>
      <c r="O200" s="101">
        <v>41434</v>
      </c>
      <c r="P200" s="102">
        <v>41436</v>
      </c>
      <c r="Q200" s="103"/>
      <c r="R200" s="104"/>
      <c r="S200" s="104">
        <f>K200</f>
        <v>311013.96999999997</v>
      </c>
      <c r="T200" s="105"/>
      <c r="U200" s="109">
        <f t="shared" si="74"/>
        <v>19445.64</v>
      </c>
      <c r="V200" s="104">
        <v>19445.63</v>
      </c>
      <c r="W200" s="106"/>
      <c r="X200" s="106"/>
      <c r="Y200" s="106"/>
      <c r="Z200" s="107"/>
      <c r="AA200" s="136">
        <f t="shared" si="59"/>
        <v>38891.269999999997</v>
      </c>
      <c r="AB200" s="196">
        <f t="shared" si="67"/>
        <v>38891.269999999997</v>
      </c>
      <c r="AC200" s="185">
        <f t="shared" si="68"/>
        <v>0</v>
      </c>
      <c r="AD200" s="185">
        <f t="shared" si="69"/>
        <v>0</v>
      </c>
    </row>
    <row r="201" spans="1:31" ht="31.5" x14ac:dyDescent="0.25">
      <c r="A201" s="48" t="s">
        <v>268</v>
      </c>
      <c r="B201" s="49" t="s">
        <v>109</v>
      </c>
      <c r="C201" s="144" t="s">
        <v>290</v>
      </c>
      <c r="D201" s="163">
        <v>481.2</v>
      </c>
      <c r="E201" s="145">
        <v>105.1</v>
      </c>
      <c r="F201" s="145">
        <f t="shared" si="72"/>
        <v>50574.12</v>
      </c>
      <c r="G201" s="146">
        <f t="shared" si="71"/>
        <v>5072.53</v>
      </c>
      <c r="H201" s="147">
        <v>0</v>
      </c>
      <c r="I201" s="219">
        <f t="shared" si="55"/>
        <v>5072.53</v>
      </c>
      <c r="J201" s="215">
        <f t="shared" si="58"/>
        <v>5057.41</v>
      </c>
      <c r="K201" s="229">
        <f t="shared" si="70"/>
        <v>40444.18</v>
      </c>
      <c r="L201" s="103"/>
      <c r="M201" s="148"/>
      <c r="N201" s="149">
        <f>F201</f>
        <v>50574.12</v>
      </c>
      <c r="O201" s="101">
        <v>41443</v>
      </c>
      <c r="P201" s="102">
        <v>41467</v>
      </c>
      <c r="Q201" s="103"/>
      <c r="R201" s="104"/>
      <c r="S201" s="104"/>
      <c r="T201" s="105">
        <f>K201</f>
        <v>40444.18</v>
      </c>
      <c r="U201" s="109">
        <f t="shared" si="74"/>
        <v>2528.71</v>
      </c>
      <c r="V201" s="104">
        <v>2528.6999999999998</v>
      </c>
      <c r="W201" s="106"/>
      <c r="X201" s="106"/>
      <c r="Y201" s="106"/>
      <c r="Z201" s="107"/>
      <c r="AA201" s="136">
        <f t="shared" si="59"/>
        <v>5057.41</v>
      </c>
      <c r="AB201" s="196">
        <f t="shared" si="67"/>
        <v>5057.41</v>
      </c>
      <c r="AC201" s="185">
        <f t="shared" si="68"/>
        <v>0</v>
      </c>
      <c r="AD201" s="185">
        <f t="shared" si="69"/>
        <v>0</v>
      </c>
    </row>
    <row r="202" spans="1:31" ht="31.5" x14ac:dyDescent="0.25">
      <c r="A202" s="48" t="s">
        <v>269</v>
      </c>
      <c r="B202" s="49" t="s">
        <v>111</v>
      </c>
      <c r="C202" s="144" t="s">
        <v>290</v>
      </c>
      <c r="D202" s="163">
        <v>481.2</v>
      </c>
      <c r="E202" s="145">
        <v>1436.37</v>
      </c>
      <c r="F202" s="145">
        <f t="shared" si="72"/>
        <v>691181.24</v>
      </c>
      <c r="G202" s="146">
        <f t="shared" si="71"/>
        <v>69324.67</v>
      </c>
      <c r="H202" s="147">
        <v>0</v>
      </c>
      <c r="I202" s="219">
        <f t="shared" si="55"/>
        <v>69324.67</v>
      </c>
      <c r="J202" s="215">
        <f t="shared" si="58"/>
        <v>69118.12</v>
      </c>
      <c r="K202" s="229">
        <f t="shared" si="70"/>
        <v>552738.44999999995</v>
      </c>
      <c r="L202" s="103"/>
      <c r="M202" s="148"/>
      <c r="N202" s="149">
        <f>F202</f>
        <v>691181.24</v>
      </c>
      <c r="O202" s="101">
        <v>41443</v>
      </c>
      <c r="P202" s="102">
        <v>41468</v>
      </c>
      <c r="Q202" s="103"/>
      <c r="R202" s="104"/>
      <c r="S202" s="104"/>
      <c r="T202" s="105">
        <f>K202</f>
        <v>552738.44999999995</v>
      </c>
      <c r="U202" s="109">
        <f t="shared" si="74"/>
        <v>34559.06</v>
      </c>
      <c r="V202" s="104">
        <v>34559.06</v>
      </c>
      <c r="W202" s="106"/>
      <c r="X202" s="106"/>
      <c r="Y202" s="106"/>
      <c r="Z202" s="107"/>
      <c r="AA202" s="136">
        <f t="shared" si="59"/>
        <v>69118.12</v>
      </c>
      <c r="AB202" s="196">
        <f t="shared" si="67"/>
        <v>69118.12</v>
      </c>
      <c r="AC202" s="185">
        <f t="shared" si="68"/>
        <v>0</v>
      </c>
      <c r="AD202" s="185">
        <f t="shared" si="69"/>
        <v>0</v>
      </c>
    </row>
    <row r="203" spans="1:31" ht="31.5" x14ac:dyDescent="0.25">
      <c r="A203" s="48" t="s">
        <v>270</v>
      </c>
      <c r="B203" s="49" t="s">
        <v>109</v>
      </c>
      <c r="C203" s="144" t="s">
        <v>290</v>
      </c>
      <c r="D203" s="163">
        <v>481.2</v>
      </c>
      <c r="E203" s="145">
        <v>105.1</v>
      </c>
      <c r="F203" s="145">
        <f t="shared" si="72"/>
        <v>50574.12</v>
      </c>
      <c r="G203" s="146">
        <f t="shared" si="71"/>
        <v>5072.53</v>
      </c>
      <c r="H203" s="147">
        <v>0</v>
      </c>
      <c r="I203" s="219">
        <f t="shared" si="55"/>
        <v>5072.53</v>
      </c>
      <c r="J203" s="215">
        <f t="shared" si="58"/>
        <v>5057.41</v>
      </c>
      <c r="K203" s="229">
        <f t="shared" si="70"/>
        <v>40444.18</v>
      </c>
      <c r="L203" s="103"/>
      <c r="M203" s="148"/>
      <c r="N203" s="149">
        <f>F203</f>
        <v>50574.12</v>
      </c>
      <c r="O203" s="101">
        <v>41444</v>
      </c>
      <c r="P203" s="102">
        <v>41469</v>
      </c>
      <c r="Q203" s="103"/>
      <c r="R203" s="104"/>
      <c r="S203" s="104"/>
      <c r="T203" s="105">
        <f>K203</f>
        <v>40444.18</v>
      </c>
      <c r="U203" s="109">
        <f t="shared" si="74"/>
        <v>2528.71</v>
      </c>
      <c r="V203" s="104">
        <v>2528.6999999999998</v>
      </c>
      <c r="W203" s="106"/>
      <c r="X203" s="106"/>
      <c r="Y203" s="106"/>
      <c r="Z203" s="107"/>
      <c r="AA203" s="136">
        <f t="shared" si="59"/>
        <v>5057.41</v>
      </c>
      <c r="AB203" s="196">
        <f t="shared" si="67"/>
        <v>5057.41</v>
      </c>
      <c r="AC203" s="185">
        <f t="shared" si="68"/>
        <v>0</v>
      </c>
      <c r="AD203" s="185">
        <f t="shared" si="69"/>
        <v>0</v>
      </c>
    </row>
    <row r="204" spans="1:31" ht="31.5" x14ac:dyDescent="0.25">
      <c r="A204" s="48" t="s">
        <v>271</v>
      </c>
      <c r="B204" s="49" t="s">
        <v>114</v>
      </c>
      <c r="C204" s="144" t="s">
        <v>290</v>
      </c>
      <c r="D204" s="163">
        <v>481.2</v>
      </c>
      <c r="E204" s="145">
        <v>68.680000000000007</v>
      </c>
      <c r="F204" s="145">
        <f t="shared" si="72"/>
        <v>33048.82</v>
      </c>
      <c r="G204" s="146">
        <f t="shared" si="71"/>
        <v>3314.76</v>
      </c>
      <c r="H204" s="147">
        <v>0</v>
      </c>
      <c r="I204" s="219">
        <f t="shared" si="55"/>
        <v>3314.76</v>
      </c>
      <c r="J204" s="215">
        <f t="shared" si="58"/>
        <v>3304.88</v>
      </c>
      <c r="K204" s="229">
        <f t="shared" si="70"/>
        <v>26429.18</v>
      </c>
      <c r="L204" s="103"/>
      <c r="M204" s="150">
        <f>F204</f>
        <v>33048.82</v>
      </c>
      <c r="N204" s="100"/>
      <c r="O204" s="101">
        <v>41439</v>
      </c>
      <c r="P204" s="102">
        <v>41469</v>
      </c>
      <c r="Q204" s="103"/>
      <c r="R204" s="104"/>
      <c r="S204" s="104">
        <f>K204</f>
        <v>26429.18</v>
      </c>
      <c r="T204" s="105"/>
      <c r="U204" s="109">
        <f t="shared" si="74"/>
        <v>1652.44</v>
      </c>
      <c r="V204" s="104">
        <v>1652.44</v>
      </c>
      <c r="W204" s="106"/>
      <c r="X204" s="106"/>
      <c r="Y204" s="106"/>
      <c r="Z204" s="107"/>
      <c r="AA204" s="136">
        <f t="shared" si="59"/>
        <v>3304.88</v>
      </c>
      <c r="AB204" s="196">
        <f t="shared" si="67"/>
        <v>3304.88</v>
      </c>
      <c r="AC204" s="185">
        <f t="shared" si="68"/>
        <v>0</v>
      </c>
      <c r="AD204" s="185">
        <f t="shared" si="69"/>
        <v>0</v>
      </c>
    </row>
    <row r="205" spans="1:31" ht="31.5" x14ac:dyDescent="0.25">
      <c r="A205" s="48" t="s">
        <v>272</v>
      </c>
      <c r="B205" s="49" t="s">
        <v>116</v>
      </c>
      <c r="C205" s="144" t="s">
        <v>290</v>
      </c>
      <c r="D205" s="163">
        <v>481.2</v>
      </c>
      <c r="E205" s="145">
        <v>1162.1199999999999</v>
      </c>
      <c r="F205" s="145">
        <f t="shared" si="72"/>
        <v>559212.14</v>
      </c>
      <c r="G205" s="146">
        <f t="shared" si="71"/>
        <v>56088.33</v>
      </c>
      <c r="H205" s="147">
        <v>0</v>
      </c>
      <c r="I205" s="219">
        <f t="shared" si="55"/>
        <v>56088.33</v>
      </c>
      <c r="J205" s="215">
        <f t="shared" si="58"/>
        <v>55921.21</v>
      </c>
      <c r="K205" s="229">
        <f t="shared" si="70"/>
        <v>447202.6</v>
      </c>
      <c r="L205" s="103"/>
      <c r="M205" s="150">
        <f>F205</f>
        <v>559212.14</v>
      </c>
      <c r="N205" s="100"/>
      <c r="O205" s="101">
        <v>41440</v>
      </c>
      <c r="P205" s="102">
        <v>41470</v>
      </c>
      <c r="Q205" s="103"/>
      <c r="R205" s="104"/>
      <c r="S205" s="104">
        <f>K205</f>
        <v>447202.6</v>
      </c>
      <c r="T205" s="105"/>
      <c r="U205" s="109">
        <f t="shared" si="74"/>
        <v>27960.61</v>
      </c>
      <c r="V205" s="104">
        <v>27960.6</v>
      </c>
      <c r="W205" s="106"/>
      <c r="X205" s="106"/>
      <c r="Y205" s="106"/>
      <c r="Z205" s="107"/>
      <c r="AA205" s="136">
        <f t="shared" si="59"/>
        <v>55921.21</v>
      </c>
      <c r="AB205" s="196">
        <f t="shared" si="67"/>
        <v>55921.21</v>
      </c>
      <c r="AC205" s="185">
        <f t="shared" si="68"/>
        <v>0</v>
      </c>
      <c r="AD205" s="185">
        <f t="shared" si="69"/>
        <v>0</v>
      </c>
    </row>
    <row r="206" spans="1:31" ht="31.5" x14ac:dyDescent="0.25">
      <c r="A206" s="48" t="s">
        <v>273</v>
      </c>
      <c r="B206" s="49" t="s">
        <v>118</v>
      </c>
      <c r="C206" s="144" t="s">
        <v>290</v>
      </c>
      <c r="D206" s="163">
        <v>902.4</v>
      </c>
      <c r="E206" s="145">
        <v>1160.32</v>
      </c>
      <c r="F206" s="145">
        <f t="shared" si="72"/>
        <v>1047072.77</v>
      </c>
      <c r="G206" s="146">
        <f t="shared" si="71"/>
        <v>105020.18</v>
      </c>
      <c r="H206" s="147">
        <v>0</v>
      </c>
      <c r="I206" s="219">
        <f t="shared" si="55"/>
        <v>105020.18</v>
      </c>
      <c r="J206" s="215">
        <f t="shared" si="58"/>
        <v>104707.28</v>
      </c>
      <c r="K206" s="229">
        <f t="shared" si="70"/>
        <v>837345.31</v>
      </c>
      <c r="L206" s="103"/>
      <c r="M206" s="150">
        <f>F206</f>
        <v>1047072.77</v>
      </c>
      <c r="N206" s="100"/>
      <c r="O206" s="101">
        <v>41436</v>
      </c>
      <c r="P206" s="102">
        <v>41440</v>
      </c>
      <c r="Q206" s="103"/>
      <c r="R206" s="104"/>
      <c r="S206" s="104">
        <f>K206</f>
        <v>837345.31</v>
      </c>
      <c r="T206" s="105"/>
      <c r="U206" s="109">
        <f t="shared" si="74"/>
        <v>52353.64</v>
      </c>
      <c r="V206" s="104">
        <v>52353.64</v>
      </c>
      <c r="W206" s="106"/>
      <c r="X206" s="106"/>
      <c r="Y206" s="106"/>
      <c r="Z206" s="107"/>
      <c r="AA206" s="136">
        <f t="shared" si="59"/>
        <v>104707.28</v>
      </c>
      <c r="AB206" s="196">
        <f t="shared" si="67"/>
        <v>104707.28</v>
      </c>
      <c r="AC206" s="185">
        <f t="shared" si="68"/>
        <v>0</v>
      </c>
      <c r="AD206" s="185">
        <f t="shared" si="69"/>
        <v>0</v>
      </c>
    </row>
    <row r="207" spans="1:31" ht="31.5" x14ac:dyDescent="0.25">
      <c r="A207" s="48" t="s">
        <v>274</v>
      </c>
      <c r="B207" s="49" t="s">
        <v>109</v>
      </c>
      <c r="C207" s="144" t="s">
        <v>290</v>
      </c>
      <c r="D207" s="163">
        <v>902.4</v>
      </c>
      <c r="E207" s="145">
        <v>79.31</v>
      </c>
      <c r="F207" s="145">
        <f t="shared" si="72"/>
        <v>71569.34</v>
      </c>
      <c r="G207" s="146">
        <f t="shared" si="71"/>
        <v>7178.32</v>
      </c>
      <c r="H207" s="147">
        <v>0</v>
      </c>
      <c r="I207" s="219">
        <f t="shared" si="55"/>
        <v>7178.32</v>
      </c>
      <c r="J207" s="215">
        <f t="shared" si="58"/>
        <v>7156.93</v>
      </c>
      <c r="K207" s="229">
        <f t="shared" si="70"/>
        <v>57234.09</v>
      </c>
      <c r="L207" s="103"/>
      <c r="M207" s="150">
        <f>F207</f>
        <v>71569.34</v>
      </c>
      <c r="N207" s="100"/>
      <c r="O207" s="101">
        <v>41438</v>
      </c>
      <c r="P207" s="102">
        <v>41441</v>
      </c>
      <c r="Q207" s="103"/>
      <c r="R207" s="104"/>
      <c r="S207" s="104">
        <f>K207</f>
        <v>57234.09</v>
      </c>
      <c r="T207" s="105"/>
      <c r="U207" s="109">
        <f t="shared" si="74"/>
        <v>3578.47</v>
      </c>
      <c r="V207" s="104">
        <v>3578.46</v>
      </c>
      <c r="W207" s="106"/>
      <c r="X207" s="106"/>
      <c r="Y207" s="106"/>
      <c r="Z207" s="107"/>
      <c r="AA207" s="136">
        <f t="shared" si="59"/>
        <v>7156.93</v>
      </c>
      <c r="AB207" s="196">
        <f t="shared" si="67"/>
        <v>7156.93</v>
      </c>
      <c r="AC207" s="185">
        <f t="shared" si="68"/>
        <v>0</v>
      </c>
      <c r="AD207" s="185">
        <f t="shared" si="69"/>
        <v>0</v>
      </c>
    </row>
    <row r="208" spans="1:31" ht="31.5" x14ac:dyDescent="0.25">
      <c r="A208" s="48" t="s">
        <v>275</v>
      </c>
      <c r="B208" s="49" t="s">
        <v>122</v>
      </c>
      <c r="C208" s="144" t="s">
        <v>290</v>
      </c>
      <c r="D208" s="163">
        <v>902.4</v>
      </c>
      <c r="E208" s="145">
        <v>469.55</v>
      </c>
      <c r="F208" s="145">
        <f t="shared" si="72"/>
        <v>423721.92</v>
      </c>
      <c r="G208" s="146">
        <f t="shared" si="71"/>
        <v>42498.82</v>
      </c>
      <c r="H208" s="147">
        <v>0</v>
      </c>
      <c r="I208" s="219">
        <f t="shared" si="55"/>
        <v>42498.82</v>
      </c>
      <c r="J208" s="215">
        <f t="shared" si="58"/>
        <v>42372.19</v>
      </c>
      <c r="K208" s="229">
        <f t="shared" si="70"/>
        <v>338850.91</v>
      </c>
      <c r="L208" s="103"/>
      <c r="M208" s="150">
        <f>F208</f>
        <v>423721.92</v>
      </c>
      <c r="N208" s="100"/>
      <c r="O208" s="101">
        <v>41439</v>
      </c>
      <c r="P208" s="102">
        <v>41443</v>
      </c>
      <c r="Q208" s="103"/>
      <c r="R208" s="104"/>
      <c r="S208" s="104">
        <f>K208</f>
        <v>338850.91</v>
      </c>
      <c r="T208" s="105"/>
      <c r="U208" s="109">
        <f t="shared" si="74"/>
        <v>21186.1</v>
      </c>
      <c r="V208" s="104">
        <v>21186.09</v>
      </c>
      <c r="W208" s="106"/>
      <c r="X208" s="106"/>
      <c r="Y208" s="106"/>
      <c r="Z208" s="107"/>
      <c r="AA208" s="136">
        <f t="shared" si="59"/>
        <v>42372.19</v>
      </c>
      <c r="AB208" s="196">
        <f t="shared" si="67"/>
        <v>42372.19</v>
      </c>
      <c r="AC208" s="185">
        <f t="shared" si="68"/>
        <v>0</v>
      </c>
      <c r="AD208" s="185">
        <f t="shared" ref="AD208:AD213" si="75">J208-AA208</f>
        <v>0</v>
      </c>
    </row>
    <row r="209" spans="1:33" ht="79.5" thickBot="1" x14ac:dyDescent="0.3">
      <c r="A209" s="48" t="s">
        <v>276</v>
      </c>
      <c r="B209" s="49" t="s">
        <v>263</v>
      </c>
      <c r="C209" s="144" t="s">
        <v>288</v>
      </c>
      <c r="D209" s="163">
        <v>451.2</v>
      </c>
      <c r="E209" s="145">
        <v>7818.5</v>
      </c>
      <c r="F209" s="145">
        <f t="shared" si="72"/>
        <v>3527707.2</v>
      </c>
      <c r="G209" s="146">
        <f t="shared" si="71"/>
        <v>353824.93</v>
      </c>
      <c r="H209" s="147">
        <v>0</v>
      </c>
      <c r="I209" s="221">
        <f t="shared" ref="I209:I213" si="76">G209</f>
        <v>353824.93</v>
      </c>
      <c r="J209" s="235">
        <f t="shared" si="58"/>
        <v>352770.72</v>
      </c>
      <c r="K209" s="236">
        <f t="shared" si="70"/>
        <v>2821111.55</v>
      </c>
      <c r="L209" s="237"/>
      <c r="M209" s="238"/>
      <c r="N209" s="239">
        <f>F209</f>
        <v>3527707.2</v>
      </c>
      <c r="O209" s="240">
        <v>41441</v>
      </c>
      <c r="P209" s="241">
        <v>41465</v>
      </c>
      <c r="Q209" s="237"/>
      <c r="R209" s="138"/>
      <c r="S209" s="138"/>
      <c r="T209" s="242">
        <f>K209</f>
        <v>2821111.55</v>
      </c>
      <c r="U209" s="137">
        <f t="shared" si="74"/>
        <v>176385.36</v>
      </c>
      <c r="V209" s="138">
        <v>176385.36</v>
      </c>
      <c r="W209" s="139"/>
      <c r="X209" s="139"/>
      <c r="Y209" s="139"/>
      <c r="Z209" s="140"/>
      <c r="AA209" s="141">
        <f t="shared" si="59"/>
        <v>352770.72</v>
      </c>
      <c r="AB209" s="196">
        <f t="shared" si="67"/>
        <v>352770.72</v>
      </c>
      <c r="AC209" s="185">
        <f t="shared" si="68"/>
        <v>0</v>
      </c>
      <c r="AD209" s="185">
        <f t="shared" si="75"/>
        <v>0</v>
      </c>
    </row>
    <row r="210" spans="1:33" ht="16.5" thickBot="1" x14ac:dyDescent="0.3">
      <c r="A210" s="51"/>
      <c r="B210" s="52" t="s">
        <v>277</v>
      </c>
      <c r="C210" s="53"/>
      <c r="D210" s="164"/>
      <c r="E210" s="54"/>
      <c r="F210" s="54">
        <f>SUM(F15:F209)</f>
        <v>416285007.94999999</v>
      </c>
      <c r="G210" s="54">
        <f>SUM(G15:G209)</f>
        <v>41752901.950000003</v>
      </c>
      <c r="H210" s="55">
        <v>0</v>
      </c>
      <c r="I210" s="225">
        <f>SUM(I15:I209)</f>
        <v>41752901.950000003</v>
      </c>
      <c r="J210" s="142">
        <f>SUM(J15:J209)</f>
        <v>41628500.810000002</v>
      </c>
      <c r="K210" s="54">
        <f>SUM(K15:K209)</f>
        <v>332903605.19</v>
      </c>
      <c r="L210" s="58">
        <f t="shared" ref="L210:N210" si="77">SUM(L15:L209)</f>
        <v>293563172.44999999</v>
      </c>
      <c r="M210" s="56">
        <f t="shared" si="77"/>
        <v>49270308.270000003</v>
      </c>
      <c r="N210" s="57">
        <f t="shared" si="77"/>
        <v>73451527.230000004</v>
      </c>
      <c r="O210" s="56"/>
      <c r="P210" s="57"/>
      <c r="Q210" s="58">
        <f t="shared" ref="Q210" si="78">SUM(Q15:Q209)</f>
        <v>7388805.4500000002</v>
      </c>
      <c r="R210" s="56">
        <f t="shared" ref="R210" si="79">SUM(R15:R209)</f>
        <v>227374005.16999999</v>
      </c>
      <c r="S210" s="56">
        <f t="shared" ref="S210:T210" si="80">SUM(S15:S209)</f>
        <v>39401522.829999998</v>
      </c>
      <c r="T210" s="56">
        <f t="shared" si="80"/>
        <v>58739271.740000002</v>
      </c>
      <c r="U210" s="59">
        <f>SUM(U15:U209)</f>
        <v>20814250.829999998</v>
      </c>
      <c r="V210" s="59">
        <f>SUM(V15:V209)</f>
        <v>20814249.98</v>
      </c>
      <c r="W210" s="59">
        <f t="shared" ref="W210:AA210" si="81">SUM(W15:W209)</f>
        <v>0</v>
      </c>
      <c r="X210" s="59">
        <f t="shared" si="81"/>
        <v>0</v>
      </c>
      <c r="Y210" s="59">
        <f t="shared" si="81"/>
        <v>0</v>
      </c>
      <c r="Z210" s="59">
        <f t="shared" si="81"/>
        <v>0</v>
      </c>
      <c r="AA210" s="243">
        <f t="shared" si="81"/>
        <v>41628500.810000002</v>
      </c>
      <c r="AB210" s="196">
        <f t="shared" ref="AB210" si="82">SUM(AB15:AB209)</f>
        <v>41628500.810000002</v>
      </c>
      <c r="AD210" s="185">
        <f t="shared" si="75"/>
        <v>0</v>
      </c>
    </row>
    <row r="211" spans="1:33" ht="32.25" thickBot="1" x14ac:dyDescent="0.3">
      <c r="A211" s="116" t="s">
        <v>280</v>
      </c>
      <c r="B211" s="143" t="s">
        <v>278</v>
      </c>
      <c r="C211" s="117"/>
      <c r="D211" s="165"/>
      <c r="E211" s="118"/>
      <c r="F211" s="118">
        <f>(F210-F16-F46)*0.8/100</f>
        <v>3227868.14</v>
      </c>
      <c r="G211" s="60">
        <f>F211*$AE$6</f>
        <v>323751.42</v>
      </c>
      <c r="H211" s="61"/>
      <c r="I211" s="226">
        <f t="shared" si="76"/>
        <v>323751.42</v>
      </c>
      <c r="J211" s="135">
        <f>F211*0.1</f>
        <v>322786.81</v>
      </c>
      <c r="K211" s="234">
        <f>F211-I211-J211</f>
        <v>2581329.91</v>
      </c>
      <c r="L211" s="113">
        <f>F211*0.7</f>
        <v>2259507.7000000002</v>
      </c>
      <c r="M211" s="63">
        <f>F211*0.12</f>
        <v>387344.18</v>
      </c>
      <c r="N211" s="112">
        <f>F211-L211-M211</f>
        <v>581016.26</v>
      </c>
      <c r="O211" s="63"/>
      <c r="P211" s="112"/>
      <c r="Q211" s="113">
        <f>+(Q210-Q16-Q46)*0.8/100</f>
        <v>0</v>
      </c>
      <c r="R211" s="63">
        <f>K211*0.7</f>
        <v>1806930.94</v>
      </c>
      <c r="S211" s="63">
        <f>K211*0.12</f>
        <v>309759.59000000003</v>
      </c>
      <c r="T211" s="114">
        <f>K211*0.18</f>
        <v>464639.38</v>
      </c>
      <c r="U211" s="62">
        <f>(U210-U16-U46)*0.8/100</f>
        <v>161393.41</v>
      </c>
      <c r="V211" s="63">
        <v>161393.4</v>
      </c>
      <c r="W211" s="110"/>
      <c r="X211" s="110"/>
      <c r="Y211" s="110"/>
      <c r="Z211" s="111"/>
      <c r="AA211" s="112">
        <f t="shared" si="59"/>
        <v>322786.81</v>
      </c>
      <c r="AB211" s="196">
        <f>F211-I211-K211</f>
        <v>322786.81</v>
      </c>
      <c r="AD211" s="185">
        <f t="shared" si="75"/>
        <v>0</v>
      </c>
      <c r="AE211" s="75">
        <f>R211/(R211+S211+T211)</f>
        <v>0.70000000116219196</v>
      </c>
      <c r="AF211" s="75">
        <f>S211/(R211+S211+T211)</f>
        <v>0.120000000309918</v>
      </c>
    </row>
    <row r="212" spans="1:33" ht="32.25" thickBot="1" x14ac:dyDescent="0.3">
      <c r="A212" s="116" t="s">
        <v>281</v>
      </c>
      <c r="B212" s="143" t="s">
        <v>308</v>
      </c>
      <c r="C212" s="117"/>
      <c r="D212" s="165"/>
      <c r="E212" s="118"/>
      <c r="F212" s="118">
        <f>(F210+F211)*0.3/100</f>
        <v>1258538.6299999999</v>
      </c>
      <c r="G212" s="60">
        <f>F212*$AE$6</f>
        <v>126229.96</v>
      </c>
      <c r="H212" s="61"/>
      <c r="I212" s="226">
        <f t="shared" si="76"/>
        <v>126229.96</v>
      </c>
      <c r="J212" s="135">
        <f>F212*0.1</f>
        <v>125853.86</v>
      </c>
      <c r="K212" s="234">
        <f>F212-I212-J212</f>
        <v>1006454.81</v>
      </c>
      <c r="L212" s="113">
        <f>F212*0.7</f>
        <v>880977.04</v>
      </c>
      <c r="M212" s="63">
        <f>F212*0.11</f>
        <v>138439.25</v>
      </c>
      <c r="N212" s="112">
        <f>F212*0.19</f>
        <v>239122.34</v>
      </c>
      <c r="O212" s="63"/>
      <c r="P212" s="112"/>
      <c r="Q212" s="113">
        <f>K212*0.02</f>
        <v>20129.099999999999</v>
      </c>
      <c r="R212" s="63">
        <f>K212*0.68</f>
        <v>684389.27</v>
      </c>
      <c r="S212" s="63">
        <f>K212*0.11</f>
        <v>110710.03</v>
      </c>
      <c r="T212" s="114">
        <f>K212*0.19</f>
        <v>191226.41</v>
      </c>
      <c r="U212" s="62">
        <f t="shared" ref="U212" si="83">(U210+U211)*0.3/100</f>
        <v>62926.93</v>
      </c>
      <c r="V212" s="63">
        <v>62926.93</v>
      </c>
      <c r="W212" s="110"/>
      <c r="X212" s="110"/>
      <c r="Y212" s="110"/>
      <c r="Z212" s="111"/>
      <c r="AA212" s="112">
        <f t="shared" ref="AA212" si="84">U212+V212</f>
        <v>125853.86</v>
      </c>
      <c r="AB212" s="196">
        <f>F212-I212-K212</f>
        <v>125853.86</v>
      </c>
      <c r="AD212" s="185">
        <f t="shared" si="75"/>
        <v>0</v>
      </c>
      <c r="AE212" s="75">
        <f>Q212/(Q212+R212+S212+T212)</f>
        <v>2.0000003775629001E-2</v>
      </c>
      <c r="AF212" s="75">
        <f>R212/(Q212+R212+S212+T212)</f>
        <v>0.67999999920513099</v>
      </c>
      <c r="AG212" s="75">
        <f>S212/(Q212+R212+S212+T212)</f>
        <v>0.110000000894228</v>
      </c>
    </row>
    <row r="213" spans="1:33" ht="16.5" thickBot="1" x14ac:dyDescent="0.3">
      <c r="A213" s="116" t="s">
        <v>282</v>
      </c>
      <c r="B213" s="143" t="s">
        <v>279</v>
      </c>
      <c r="C213" s="117"/>
      <c r="D213" s="165"/>
      <c r="E213" s="118"/>
      <c r="F213" s="118">
        <v>1694915.25</v>
      </c>
      <c r="G213" s="60">
        <f>F213*$AE$6</f>
        <v>169998.03</v>
      </c>
      <c r="H213" s="61"/>
      <c r="I213" s="226">
        <f t="shared" si="76"/>
        <v>169998.03</v>
      </c>
      <c r="J213" s="135">
        <f>F213*0.1</f>
        <v>169491.53</v>
      </c>
      <c r="K213" s="234">
        <f>F213-I213-J213</f>
        <v>1355425.69</v>
      </c>
      <c r="L213" s="113">
        <f>F213</f>
        <v>1694915.25</v>
      </c>
      <c r="M213" s="63">
        <v>0</v>
      </c>
      <c r="N213" s="112">
        <v>0</v>
      </c>
      <c r="O213" s="63"/>
      <c r="P213" s="112"/>
      <c r="Q213" s="113">
        <f>K213</f>
        <v>1355425.69</v>
      </c>
      <c r="R213" s="63">
        <v>0</v>
      </c>
      <c r="S213" s="63">
        <v>0</v>
      </c>
      <c r="T213" s="114">
        <v>0</v>
      </c>
      <c r="U213" s="62">
        <f>J213*0.5</f>
        <v>84745.77</v>
      </c>
      <c r="V213" s="63">
        <v>84745.76</v>
      </c>
      <c r="W213" s="110"/>
      <c r="X213" s="110"/>
      <c r="Y213" s="110"/>
      <c r="Z213" s="111"/>
      <c r="AA213" s="189">
        <f t="shared" ref="AA213" si="85">U213+V213</f>
        <v>169491.53</v>
      </c>
      <c r="AB213" s="196">
        <f>F213-I213-K213</f>
        <v>169491.53</v>
      </c>
      <c r="AD213" s="185">
        <f t="shared" si="75"/>
        <v>0</v>
      </c>
    </row>
    <row r="214" spans="1:33" x14ac:dyDescent="0.25">
      <c r="A214" s="51"/>
      <c r="B214" s="52" t="s">
        <v>7</v>
      </c>
      <c r="C214" s="53"/>
      <c r="D214" s="164"/>
      <c r="E214" s="54"/>
      <c r="F214" s="54">
        <f>F210+F211+F212+F213</f>
        <v>422466329.97000003</v>
      </c>
      <c r="G214" s="54">
        <f>G210+G211+G212+G213</f>
        <v>42372881.359999999</v>
      </c>
      <c r="H214" s="54">
        <f t="shared" ref="H214:AB214" si="86">H210+H211+H212+H213</f>
        <v>0</v>
      </c>
      <c r="I214" s="227">
        <f t="shared" si="86"/>
        <v>42372881.359999999</v>
      </c>
      <c r="J214" s="54">
        <f t="shared" si="86"/>
        <v>42246633.009999998</v>
      </c>
      <c r="K214" s="54">
        <f>K210+K211+K212+K213</f>
        <v>337846815.60000002</v>
      </c>
      <c r="L214" s="228">
        <f t="shared" si="86"/>
        <v>298398572.44</v>
      </c>
      <c r="M214" s="54">
        <f t="shared" si="86"/>
        <v>49796091.700000003</v>
      </c>
      <c r="N214" s="54">
        <f t="shared" si="86"/>
        <v>74271665.829999998</v>
      </c>
      <c r="O214" s="54">
        <f t="shared" si="86"/>
        <v>0</v>
      </c>
      <c r="P214" s="54">
        <f t="shared" si="86"/>
        <v>0</v>
      </c>
      <c r="Q214" s="228">
        <f t="shared" si="86"/>
        <v>8764360.2400000002</v>
      </c>
      <c r="R214" s="54">
        <f t="shared" si="86"/>
        <v>229865325.38</v>
      </c>
      <c r="S214" s="54">
        <f t="shared" si="86"/>
        <v>39821992.450000003</v>
      </c>
      <c r="T214" s="54">
        <f t="shared" si="86"/>
        <v>59395137.530000001</v>
      </c>
      <c r="U214" s="54">
        <f t="shared" si="86"/>
        <v>21123316.940000001</v>
      </c>
      <c r="V214" s="54">
        <f t="shared" si="86"/>
        <v>21123316.07</v>
      </c>
      <c r="W214" s="54">
        <f t="shared" si="86"/>
        <v>0</v>
      </c>
      <c r="X214" s="54">
        <f t="shared" si="86"/>
        <v>0</v>
      </c>
      <c r="Y214" s="54">
        <f t="shared" si="86"/>
        <v>0</v>
      </c>
      <c r="Z214" s="54">
        <f t="shared" si="86"/>
        <v>0</v>
      </c>
      <c r="AA214" s="54">
        <f t="shared" si="86"/>
        <v>42246633.009999998</v>
      </c>
      <c r="AB214" s="228">
        <f t="shared" si="86"/>
        <v>42246633.009999998</v>
      </c>
    </row>
    <row r="215" spans="1:33" ht="16.5" thickBot="1" x14ac:dyDescent="0.3">
      <c r="A215" s="64"/>
      <c r="B215" s="65" t="s">
        <v>8</v>
      </c>
      <c r="C215" s="66"/>
      <c r="D215" s="166"/>
      <c r="E215" s="67"/>
      <c r="F215" s="67">
        <f>F214*1.18</f>
        <v>498510269.36000001</v>
      </c>
      <c r="G215" s="68">
        <f>G214*1.18</f>
        <v>50000000</v>
      </c>
      <c r="H215" s="68">
        <f t="shared" ref="H215:AB215" si="87">H214*1.18</f>
        <v>0</v>
      </c>
      <c r="I215" s="68">
        <f t="shared" si="87"/>
        <v>50000000</v>
      </c>
      <c r="J215" s="67">
        <f t="shared" si="87"/>
        <v>49851026.950000003</v>
      </c>
      <c r="K215" s="67">
        <f>K214*1.18</f>
        <v>398659242.41000003</v>
      </c>
      <c r="L215" s="69">
        <f t="shared" si="87"/>
        <v>352110315.48000002</v>
      </c>
      <c r="M215" s="68">
        <f t="shared" si="87"/>
        <v>58759388.210000001</v>
      </c>
      <c r="N215" s="68">
        <f t="shared" si="87"/>
        <v>87640565.680000007</v>
      </c>
      <c r="O215" s="68">
        <f t="shared" si="87"/>
        <v>0</v>
      </c>
      <c r="P215" s="67">
        <f t="shared" si="87"/>
        <v>0</v>
      </c>
      <c r="Q215" s="69">
        <f t="shared" si="87"/>
        <v>10341945.08</v>
      </c>
      <c r="R215" s="68">
        <f t="shared" si="87"/>
        <v>271241083.94999999</v>
      </c>
      <c r="S215" s="68">
        <f t="shared" si="87"/>
        <v>46989951.090000004</v>
      </c>
      <c r="T215" s="68">
        <f t="shared" si="87"/>
        <v>70086262.290000007</v>
      </c>
      <c r="U215" s="68">
        <f t="shared" si="87"/>
        <v>24925513.989999998</v>
      </c>
      <c r="V215" s="68">
        <f t="shared" si="87"/>
        <v>24925512.960000001</v>
      </c>
      <c r="W215" s="68">
        <f t="shared" si="87"/>
        <v>0</v>
      </c>
      <c r="X215" s="68">
        <f t="shared" si="87"/>
        <v>0</v>
      </c>
      <c r="Y215" s="68">
        <f t="shared" si="87"/>
        <v>0</v>
      </c>
      <c r="Z215" s="68">
        <f t="shared" si="87"/>
        <v>0</v>
      </c>
      <c r="AA215" s="67">
        <f t="shared" si="87"/>
        <v>49851026.950000003</v>
      </c>
      <c r="AB215" s="69">
        <f t="shared" si="87"/>
        <v>49851026.950000003</v>
      </c>
    </row>
    <row r="216" spans="1:33" ht="15.6" x14ac:dyDescent="0.3">
      <c r="A216" s="35"/>
      <c r="C216" s="115"/>
      <c r="E216" s="9"/>
      <c r="F216" s="9"/>
      <c r="K216" s="9"/>
      <c r="M216" s="75"/>
      <c r="N216" s="75"/>
    </row>
    <row r="217" spans="1:33" ht="15.6" x14ac:dyDescent="0.3">
      <c r="A217" s="35"/>
      <c r="E217" s="75"/>
      <c r="F217" s="9"/>
      <c r="M217" s="75"/>
      <c r="N217" s="75"/>
      <c r="Q217" s="9"/>
    </row>
    <row r="218" spans="1:33" ht="15.6" x14ac:dyDescent="0.3">
      <c r="E218" s="75"/>
      <c r="F218" s="75"/>
      <c r="M218" s="75"/>
      <c r="N218" s="75"/>
      <c r="Q218" s="9"/>
      <c r="R218" s="9"/>
    </row>
    <row r="219" spans="1:33" s="122" customFormat="1" ht="23.25" customHeight="1" x14ac:dyDescent="0.25">
      <c r="A219" s="119"/>
      <c r="B219" s="120" t="s">
        <v>26</v>
      </c>
      <c r="C219" s="121"/>
      <c r="D219" s="167"/>
      <c r="L219" s="123"/>
      <c r="O219" s="124"/>
      <c r="P219" s="124"/>
      <c r="Q219" s="9"/>
      <c r="U219" s="123"/>
      <c r="V219" s="123"/>
      <c r="AB219" s="192"/>
      <c r="AC219" s="187"/>
      <c r="AD219" s="187"/>
    </row>
    <row r="220" spans="1:33" s="122" customFormat="1" ht="65.25" customHeight="1" x14ac:dyDescent="0.25">
      <c r="A220" s="119"/>
      <c r="B220" s="335" t="s">
        <v>306</v>
      </c>
      <c r="C220" s="335"/>
      <c r="D220" s="335"/>
      <c r="E220" s="335"/>
      <c r="F220" s="125"/>
      <c r="J220" s="197"/>
      <c r="L220" s="123"/>
      <c r="O220" s="124"/>
      <c r="P220" s="124"/>
      <c r="U220" s="123"/>
      <c r="V220" s="123"/>
      <c r="AB220" s="192"/>
      <c r="AC220" s="187"/>
      <c r="AD220" s="187"/>
    </row>
    <row r="221" spans="1:33" s="122" customFormat="1" ht="18.75" x14ac:dyDescent="0.25">
      <c r="B221" s="120" t="s">
        <v>27</v>
      </c>
      <c r="C221" s="121"/>
      <c r="D221" s="167"/>
      <c r="E221" s="125"/>
      <c r="F221" s="125"/>
      <c r="L221" s="123"/>
      <c r="O221" s="124"/>
      <c r="P221" s="124"/>
      <c r="U221" s="123"/>
      <c r="V221" s="123"/>
      <c r="AB221" s="192"/>
      <c r="AC221" s="187"/>
      <c r="AD221" s="187"/>
    </row>
    <row r="222" spans="1:33" s="122" customFormat="1" ht="18" x14ac:dyDescent="0.3">
      <c r="A222" s="126"/>
      <c r="B222" s="119"/>
      <c r="C222" s="121"/>
      <c r="D222" s="167"/>
      <c r="E222" s="125"/>
      <c r="F222" s="125"/>
      <c r="L222" s="123"/>
      <c r="O222" s="124"/>
      <c r="P222" s="124"/>
      <c r="R222" s="123"/>
      <c r="U222" s="123"/>
      <c r="V222" s="123"/>
      <c r="AB222" s="192"/>
      <c r="AC222" s="187"/>
      <c r="AD222" s="187"/>
    </row>
    <row r="223" spans="1:33" s="122" customFormat="1" ht="18.75" x14ac:dyDescent="0.25">
      <c r="A223" s="126"/>
      <c r="B223" s="134" t="s">
        <v>307</v>
      </c>
      <c r="C223" s="127"/>
      <c r="D223" s="168"/>
      <c r="E223" s="128"/>
      <c r="F223" s="128"/>
      <c r="L223" s="123"/>
      <c r="O223" s="124"/>
      <c r="P223" s="124"/>
      <c r="U223" s="123"/>
      <c r="V223" s="123"/>
      <c r="AB223" s="192"/>
      <c r="AC223" s="187"/>
      <c r="AD223" s="187"/>
    </row>
    <row r="224" spans="1:33" s="122" customFormat="1" ht="18" x14ac:dyDescent="0.3">
      <c r="A224" s="126"/>
      <c r="B224" s="119"/>
      <c r="C224" s="127"/>
      <c r="D224" s="168"/>
      <c r="E224" s="128"/>
      <c r="F224" s="128"/>
      <c r="L224" s="123"/>
      <c r="O224" s="124"/>
      <c r="P224" s="124"/>
      <c r="U224" s="123"/>
      <c r="V224" s="123"/>
      <c r="AB224" s="192"/>
      <c r="AC224" s="187"/>
      <c r="AD224" s="187"/>
    </row>
    <row r="225" spans="1:30" s="131" customFormat="1" ht="18.75" x14ac:dyDescent="0.25">
      <c r="A225" s="129"/>
      <c r="B225" s="119"/>
      <c r="C225" s="130"/>
      <c r="D225" s="168"/>
      <c r="L225" s="128"/>
      <c r="O225" s="132"/>
      <c r="P225" s="132"/>
      <c r="U225" s="128"/>
      <c r="V225" s="128"/>
      <c r="AB225" s="193"/>
      <c r="AC225" s="188"/>
      <c r="AD225" s="188"/>
    </row>
    <row r="226" spans="1:30" s="131" customFormat="1" ht="18.75" x14ac:dyDescent="0.25">
      <c r="A226" s="129"/>
      <c r="B226" s="120" t="s">
        <v>28</v>
      </c>
      <c r="C226" s="130"/>
      <c r="D226" s="168"/>
      <c r="E226" s="133"/>
      <c r="F226" s="133"/>
      <c r="L226" s="128"/>
      <c r="O226" s="132"/>
      <c r="P226" s="132"/>
      <c r="U226" s="128"/>
      <c r="V226" s="128"/>
      <c r="AB226" s="193"/>
      <c r="AC226" s="188"/>
      <c r="AD226" s="188"/>
    </row>
    <row r="227" spans="1:30" s="131" customFormat="1" ht="18.75" x14ac:dyDescent="0.25">
      <c r="A227" s="129"/>
      <c r="B227" s="120" t="s">
        <v>304</v>
      </c>
      <c r="C227" s="121"/>
      <c r="D227" s="167"/>
      <c r="E227" s="125"/>
      <c r="F227" s="125"/>
      <c r="G227" s="128"/>
      <c r="H227" s="128"/>
      <c r="L227" s="128"/>
      <c r="O227" s="132"/>
      <c r="P227" s="132"/>
      <c r="U227" s="128"/>
      <c r="V227" s="128"/>
      <c r="AB227" s="193"/>
      <c r="AC227" s="188"/>
      <c r="AD227" s="188"/>
    </row>
    <row r="228" spans="1:30" s="131" customFormat="1" ht="18.75" x14ac:dyDescent="0.25">
      <c r="A228" s="129"/>
      <c r="B228" s="120"/>
      <c r="C228" s="121"/>
      <c r="D228" s="167"/>
      <c r="E228" s="125"/>
      <c r="F228" s="125"/>
      <c r="L228" s="128"/>
      <c r="O228" s="132"/>
      <c r="P228" s="132"/>
      <c r="U228" s="128"/>
      <c r="V228" s="128"/>
      <c r="AB228" s="193"/>
      <c r="AC228" s="188"/>
      <c r="AD228" s="188"/>
    </row>
    <row r="229" spans="1:30" s="122" customFormat="1" ht="18.75" x14ac:dyDescent="0.25">
      <c r="A229" s="126"/>
      <c r="B229" s="119"/>
      <c r="C229" s="121"/>
      <c r="D229" s="167"/>
      <c r="E229" s="125"/>
      <c r="F229" s="125"/>
      <c r="L229" s="123"/>
      <c r="O229" s="124"/>
      <c r="P229" s="124"/>
      <c r="U229" s="123"/>
      <c r="V229" s="123"/>
      <c r="AB229" s="192"/>
      <c r="AC229" s="187"/>
      <c r="AD229" s="187"/>
    </row>
    <row r="230" spans="1:30" s="122" customFormat="1" ht="18.75" x14ac:dyDescent="0.25">
      <c r="A230" s="126"/>
      <c r="B230" s="134" t="s">
        <v>305</v>
      </c>
      <c r="C230" s="121"/>
      <c r="D230" s="167"/>
      <c r="E230" s="125"/>
      <c r="F230" s="125"/>
      <c r="L230" s="123"/>
      <c r="O230" s="124"/>
      <c r="P230" s="124"/>
      <c r="U230" s="123"/>
      <c r="V230" s="123"/>
      <c r="AB230" s="192"/>
      <c r="AC230" s="187"/>
      <c r="AD230" s="187"/>
    </row>
    <row r="231" spans="1:30" s="122" customFormat="1" ht="18.75" x14ac:dyDescent="0.25">
      <c r="A231" s="126"/>
      <c r="B231" s="119"/>
      <c r="C231" s="121"/>
      <c r="D231" s="167"/>
      <c r="E231" s="125"/>
      <c r="F231" s="125"/>
      <c r="L231" s="123"/>
      <c r="O231" s="124"/>
      <c r="P231" s="124"/>
      <c r="U231" s="123"/>
      <c r="V231" s="123"/>
      <c r="AB231" s="192"/>
      <c r="AC231" s="187"/>
      <c r="AD231" s="187"/>
    </row>
    <row r="232" spans="1:30" s="122" customFormat="1" ht="18.75" x14ac:dyDescent="0.25">
      <c r="A232" s="126"/>
      <c r="C232" s="121"/>
      <c r="D232" s="167"/>
      <c r="E232" s="125"/>
      <c r="F232" s="125"/>
      <c r="L232" s="123"/>
      <c r="O232" s="124"/>
      <c r="P232" s="124"/>
      <c r="U232" s="123"/>
      <c r="V232" s="123"/>
      <c r="AB232" s="192"/>
      <c r="AC232" s="187"/>
      <c r="AD232" s="187"/>
    </row>
    <row r="233" spans="1:30" s="122" customFormat="1" ht="18.75" x14ac:dyDescent="0.25">
      <c r="A233" s="126"/>
      <c r="C233" s="121"/>
      <c r="D233" s="167"/>
      <c r="E233" s="125"/>
      <c r="F233" s="125"/>
      <c r="L233" s="123"/>
      <c r="M233" s="123"/>
      <c r="N233" s="123"/>
      <c r="O233" s="124"/>
      <c r="P233" s="124"/>
      <c r="U233" s="123"/>
      <c r="V233" s="123"/>
      <c r="AB233" s="192"/>
      <c r="AC233" s="187"/>
      <c r="AD233" s="187"/>
    </row>
  </sheetData>
  <autoFilter ref="A14:AA14"/>
  <mergeCells count="14">
    <mergeCell ref="B220:E220"/>
    <mergeCell ref="U10:AA10"/>
    <mergeCell ref="A5:F5"/>
    <mergeCell ref="B10:B11"/>
    <mergeCell ref="F10:F11"/>
    <mergeCell ref="Q10:T10"/>
    <mergeCell ref="L10:N10"/>
    <mergeCell ref="O10:P10"/>
    <mergeCell ref="G10:I10"/>
    <mergeCell ref="J10:J11"/>
    <mergeCell ref="E10:E11"/>
    <mergeCell ref="C10:C11"/>
    <mergeCell ref="D10:D11"/>
    <mergeCell ref="K10:K11"/>
  </mergeCells>
  <printOptions horizontalCentered="1"/>
  <pageMargins left="0.19685039370078741" right="0.19685039370078741" top="0.78740157480314965" bottom="0.39370078740157483" header="0.11811023622047245" footer="0.11811023622047245"/>
  <pageSetup paperSize="8" scale="44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Форма</vt:lpstr>
      <vt:lpstr>Лист 1 (2)</vt:lpstr>
      <vt:lpstr>Лист 1</vt:lpstr>
      <vt:lpstr>'Лист 1'!Заголовки_для_печати</vt:lpstr>
      <vt:lpstr>'Лист 1 (2)'!Заголовки_для_печати</vt:lpstr>
      <vt:lpstr>Форма!Заголовки_для_печати</vt:lpstr>
      <vt:lpstr>'Лист 1'!Область_печати</vt:lpstr>
      <vt:lpstr>'Лист 1 (2)'!Область_печати</vt:lpstr>
      <vt:lpstr>Форма!Область_печати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Babeychuk Inna</cp:lastModifiedBy>
  <cp:lastPrinted>2013-11-08T06:46:27Z</cp:lastPrinted>
  <dcterms:created xsi:type="dcterms:W3CDTF">2012-07-04T11:32:52Z</dcterms:created>
  <dcterms:modified xsi:type="dcterms:W3CDTF">2014-04-21T13:44:55Z</dcterms:modified>
</cp:coreProperties>
</file>